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alzer_a\Documents\Stoffstrombilanz\Programm\"/>
    </mc:Choice>
  </mc:AlternateContent>
  <bookViews>
    <workbookView xWindow="0" yWindow="0" windowWidth="15240" windowHeight="5010" tabRatio="868"/>
  </bookViews>
  <sheets>
    <sheet name="Einführung" sheetId="40" r:id="rId1"/>
    <sheet name="Betrieb" sheetId="58" r:id="rId2"/>
    <sheet name="Pflanzenbau" sheetId="27" r:id="rId3"/>
    <sheet name="Saatgut" sheetId="72" r:id="rId4"/>
    <sheet name="Mineraldünger" sheetId="55" r:id="rId5"/>
    <sheet name="Organ. Dünger" sheetId="49" r:id="rId6"/>
    <sheet name="Biogasanlage" sheetId="28" r:id="rId7"/>
    <sheet name="Tierhaltung" sheetId="51" r:id="rId8"/>
    <sheet name="Tiere" sheetId="37" r:id="rId9"/>
    <sheet name="tier. Produkte" sheetId="48" r:id="rId10"/>
    <sheet name="Futtermittel" sheetId="36" r:id="rId11"/>
    <sheet name="Grobfutter" sheetId="53" r:id="rId12"/>
    <sheet name="Ausdruck Stoffstrombilanz" sheetId="67" r:id="rId13"/>
    <sheet name="Daten Ernteprodukte" sheetId="6" r:id="rId14"/>
    <sheet name="Daten Gemüse Arznei Gewürz" sheetId="73" r:id="rId15"/>
    <sheet name="Daten Düngemittel" sheetId="26" r:id="rId16"/>
    <sheet name="Daten Biogasanlage" sheetId="32" r:id="rId17"/>
    <sheet name="Daten Tierhaltung" sheetId="1" r:id="rId18"/>
    <sheet name="Daten Tiere" sheetId="33" r:id="rId19"/>
    <sheet name="Daten Futtermittel Saatgut" sheetId="29" r:id="rId20"/>
    <sheet name="Daten Grobfutter" sheetId="54" r:id="rId21"/>
    <sheet name="DüV Grünland" sheetId="52" r:id="rId22"/>
    <sheet name="Schema SSB" sheetId="44" r:id="rId23"/>
    <sheet name="Tabelle1" sheetId="68" r:id="rId24"/>
  </sheets>
  <definedNames>
    <definedName name="_ftn1" localSheetId="17">'Daten Tierhaltung'!#REF!</definedName>
    <definedName name="_ftnref1" localSheetId="17">'Daten Tierhaltung'!#REF!</definedName>
    <definedName name="_xlnm.Print_Area" localSheetId="12">'Ausdruck Stoffstrombilanz'!$A$1:$O$63</definedName>
    <definedName name="_xlnm.Print_Area" localSheetId="22">'Schema SSB'!$A$1:$K$22</definedName>
    <definedName name="Futterbau">'Daten Ernteprodukte'!$B$51:$B$67</definedName>
    <definedName name="Futtermittel">'Daten Futtermittel Saatgut'!$B$7:$B$75</definedName>
    <definedName name="Gärrest">'Daten Düngemittel'!$B$46:$B$51</definedName>
    <definedName name="Grobfutter">'Daten Grobfutter'!$B$5:$B$29</definedName>
    <definedName name="Handelsdg">'Daten Düngemittel'!$B$70:$B$114</definedName>
    <definedName name="Kompost">'Daten Düngemittel'!$B$54:$B$60</definedName>
    <definedName name="Marktfrucht">'Daten Ernteprodukte'!$B$5:$B$50</definedName>
    <definedName name="OrgDg">'Daten Düngemittel'!$B$5:$B$51</definedName>
    <definedName name="OrgDgohne">'Daten Düngemittel'!$B$5:$B$45</definedName>
    <definedName name="Saatgut">'Daten Futtermittel Saatgut'!$B$81:$B$88</definedName>
    <definedName name="Substpfl">'Daten Biogasanlage'!$B$5:$B$80</definedName>
    <definedName name="Tier">'Daten Tiere'!$G$5:$G$10</definedName>
    <definedName name="Tiere">'Daten Tierhaltung'!$B$7:$B$110</definedName>
    <definedName name="Tierhaltungsform">'Daten Tierhaltung'!$B$7:$B$110</definedName>
    <definedName name="Tierkategorie">'Daten Tierhaltung'!$B$120:$B$138</definedName>
    <definedName name="TierLG">'Daten Tiere'!$B$11:$B$25</definedName>
    <definedName name="Tierprodukt">'Daten Tiere'!$B$5:$B$10</definedName>
    <definedName name="Tierprodukte">'Daten Tiere'!$B$5:$B$25</definedName>
    <definedName name="TierSG">'Daten Tiere'!$G$5:$G$10</definedName>
    <definedName name="Zwfrucht">'Daten Ernteprodukte'!$B$72:$B$95</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7" i="67" l="1"/>
  <c r="M30" i="58" l="1"/>
  <c r="M14" i="51" l="1"/>
  <c r="M15" i="51"/>
  <c r="M16" i="51"/>
  <c r="M17" i="51"/>
  <c r="M18" i="51"/>
  <c r="M19" i="51"/>
  <c r="M20" i="51"/>
  <c r="M21" i="51"/>
  <c r="M22" i="51"/>
  <c r="M23" i="51"/>
  <c r="M24" i="51"/>
  <c r="M25" i="51"/>
  <c r="M26" i="51"/>
  <c r="M27" i="51"/>
  <c r="M28" i="51"/>
  <c r="M29" i="51"/>
  <c r="M30" i="51"/>
  <c r="M31" i="51"/>
  <c r="M32" i="51"/>
  <c r="M33" i="51"/>
  <c r="M34" i="51"/>
  <c r="M35" i="51"/>
  <c r="M36" i="51"/>
  <c r="M37" i="51"/>
  <c r="M38" i="51"/>
  <c r="M39" i="51"/>
  <c r="M40" i="51"/>
  <c r="M41" i="51"/>
  <c r="M42" i="51"/>
  <c r="M43" i="51"/>
  <c r="M44" i="51"/>
  <c r="M24" i="58"/>
  <c r="M25" i="58"/>
  <c r="R18" i="51" l="1"/>
  <c r="S18" i="51"/>
  <c r="R19" i="51"/>
  <c r="S19" i="51"/>
  <c r="R20" i="51"/>
  <c r="S20" i="51"/>
  <c r="R21" i="51"/>
  <c r="S21" i="51"/>
  <c r="R22" i="51"/>
  <c r="S22" i="51"/>
  <c r="R23" i="51"/>
  <c r="S23" i="51"/>
  <c r="R24" i="51"/>
  <c r="S24" i="51"/>
  <c r="R25" i="51"/>
  <c r="S25" i="51"/>
  <c r="R26" i="51"/>
  <c r="S26" i="51"/>
  <c r="R27" i="51"/>
  <c r="S27" i="51"/>
  <c r="R28" i="51"/>
  <c r="S28" i="51"/>
  <c r="R29" i="51"/>
  <c r="S29" i="51"/>
  <c r="R30" i="51"/>
  <c r="S30" i="51"/>
  <c r="R31" i="51"/>
  <c r="S31" i="51"/>
  <c r="R32" i="51"/>
  <c r="S32" i="51"/>
  <c r="R33" i="51"/>
  <c r="S33" i="51"/>
  <c r="R34" i="51"/>
  <c r="S34" i="51"/>
  <c r="R35" i="51"/>
  <c r="S35" i="51"/>
  <c r="R36" i="51"/>
  <c r="S36" i="51"/>
  <c r="R37" i="51"/>
  <c r="S37" i="51"/>
  <c r="R38" i="51"/>
  <c r="S38" i="51"/>
  <c r="R39" i="51"/>
  <c r="S39" i="51"/>
  <c r="R40" i="51"/>
  <c r="S40" i="51"/>
  <c r="R41" i="51"/>
  <c r="S41" i="51"/>
  <c r="R42" i="51"/>
  <c r="S42" i="51"/>
  <c r="R43" i="51"/>
  <c r="S43" i="51"/>
  <c r="R44" i="51"/>
  <c r="S44" i="51"/>
  <c r="J18" i="51"/>
  <c r="K18" i="51"/>
  <c r="J19" i="51"/>
  <c r="K19" i="51"/>
  <c r="J20" i="51"/>
  <c r="K20" i="51"/>
  <c r="J21" i="51"/>
  <c r="K21" i="51"/>
  <c r="J22" i="51"/>
  <c r="K22" i="51"/>
  <c r="J23" i="51"/>
  <c r="K23" i="51"/>
  <c r="J24" i="51"/>
  <c r="K24" i="51"/>
  <c r="J25" i="51"/>
  <c r="K25" i="51"/>
  <c r="J26" i="51"/>
  <c r="K26" i="51"/>
  <c r="J27" i="51"/>
  <c r="K27" i="51"/>
  <c r="J28" i="51"/>
  <c r="K28" i="51"/>
  <c r="J29" i="51"/>
  <c r="K29" i="51"/>
  <c r="J30" i="51"/>
  <c r="K30" i="51"/>
  <c r="J31" i="51"/>
  <c r="K31" i="51"/>
  <c r="J32" i="51"/>
  <c r="K32" i="51"/>
  <c r="J33" i="51"/>
  <c r="K33" i="51"/>
  <c r="J34" i="51"/>
  <c r="K34" i="51"/>
  <c r="J35" i="51"/>
  <c r="K35" i="51"/>
  <c r="J36" i="51"/>
  <c r="K36" i="51"/>
  <c r="J37" i="51"/>
  <c r="K37" i="51"/>
  <c r="J38" i="51"/>
  <c r="K38" i="51"/>
  <c r="J39" i="51"/>
  <c r="K39" i="51"/>
  <c r="J40" i="51"/>
  <c r="K40" i="51"/>
  <c r="J41" i="51"/>
  <c r="K41" i="51"/>
  <c r="J42" i="51"/>
  <c r="K42" i="51"/>
  <c r="J43" i="51"/>
  <c r="K43" i="51"/>
  <c r="J44" i="51"/>
  <c r="K44" i="51"/>
  <c r="G12" i="72" l="1"/>
  <c r="J12" i="72" s="1"/>
  <c r="F12" i="72"/>
  <c r="I12" i="72" s="1"/>
  <c r="E12" i="72"/>
  <c r="H12" i="72" s="1"/>
  <c r="G20" i="72"/>
  <c r="J20" i="72" s="1"/>
  <c r="F20" i="72"/>
  <c r="I20" i="72" s="1"/>
  <c r="E20" i="72"/>
  <c r="H20" i="72" s="1"/>
  <c r="G19" i="72"/>
  <c r="J19" i="72" s="1"/>
  <c r="F19" i="72"/>
  <c r="I19" i="72" s="1"/>
  <c r="E19" i="72"/>
  <c r="H19" i="72" s="1"/>
  <c r="G18" i="72"/>
  <c r="J18" i="72" s="1"/>
  <c r="F18" i="72"/>
  <c r="I18" i="72" s="1"/>
  <c r="E18" i="72"/>
  <c r="H18" i="72" s="1"/>
  <c r="G17" i="72"/>
  <c r="J17" i="72" s="1"/>
  <c r="F17" i="72"/>
  <c r="I17" i="72" s="1"/>
  <c r="E17" i="72"/>
  <c r="H17" i="72" s="1"/>
  <c r="G16" i="72"/>
  <c r="J16" i="72" s="1"/>
  <c r="F16" i="72"/>
  <c r="I16" i="72" s="1"/>
  <c r="E16" i="72"/>
  <c r="H16" i="72" s="1"/>
  <c r="G15" i="72"/>
  <c r="J15" i="72" s="1"/>
  <c r="F15" i="72"/>
  <c r="I15" i="72" s="1"/>
  <c r="E15" i="72"/>
  <c r="H15" i="72" s="1"/>
  <c r="G14" i="72"/>
  <c r="J14" i="72" s="1"/>
  <c r="F14" i="72"/>
  <c r="I14" i="72" s="1"/>
  <c r="E14" i="72"/>
  <c r="H14" i="72" s="1"/>
  <c r="G13" i="72"/>
  <c r="J13" i="72" s="1"/>
  <c r="F13" i="72"/>
  <c r="I13" i="72" s="1"/>
  <c r="E13" i="72"/>
  <c r="H13" i="72" s="1"/>
  <c r="E9" i="72"/>
  <c r="H21" i="72" l="1"/>
  <c r="C13" i="67" s="1"/>
  <c r="I21" i="72"/>
  <c r="D13" i="67" s="1"/>
  <c r="J21" i="72"/>
  <c r="E13" i="67" s="1"/>
  <c r="D2" i="67" l="1"/>
  <c r="U21" i="51" l="1"/>
  <c r="U22" i="51"/>
  <c r="U23" i="51"/>
  <c r="U24" i="51"/>
  <c r="U25" i="51"/>
  <c r="U26" i="51"/>
  <c r="U27" i="51"/>
  <c r="U28" i="51"/>
  <c r="U29" i="51"/>
  <c r="U30" i="51"/>
  <c r="U31" i="51"/>
  <c r="U32" i="51"/>
  <c r="U33" i="51"/>
  <c r="U34" i="51"/>
  <c r="U35" i="51"/>
  <c r="U36" i="51"/>
  <c r="U37" i="51"/>
  <c r="U38" i="51"/>
  <c r="U39" i="51"/>
  <c r="U40" i="51"/>
  <c r="U41" i="51"/>
  <c r="U42" i="51"/>
  <c r="U43" i="51"/>
  <c r="U44" i="51"/>
  <c r="Z21" i="51"/>
  <c r="Z22" i="51"/>
  <c r="Z23" i="51"/>
  <c r="Z24" i="51"/>
  <c r="Z25" i="51"/>
  <c r="Z26" i="51"/>
  <c r="Z27" i="51"/>
  <c r="Z28" i="51"/>
  <c r="Z29" i="51"/>
  <c r="Z30" i="51"/>
  <c r="Z31" i="51"/>
  <c r="Z32" i="51"/>
  <c r="Z33" i="51"/>
  <c r="Z34" i="51"/>
  <c r="Z35" i="51"/>
  <c r="Z36" i="51"/>
  <c r="Z37" i="51"/>
  <c r="Z38" i="51"/>
  <c r="Z39" i="51"/>
  <c r="Z40" i="51"/>
  <c r="Z41" i="51"/>
  <c r="Z42" i="51"/>
  <c r="Z43" i="51"/>
  <c r="Z44" i="51"/>
  <c r="Y21" i="51"/>
  <c r="Y22" i="51"/>
  <c r="Y23" i="51"/>
  <c r="Y24" i="51"/>
  <c r="Y25" i="51"/>
  <c r="Y26" i="51"/>
  <c r="Y27" i="51"/>
  <c r="Y28" i="51"/>
  <c r="Y29" i="51"/>
  <c r="Y30" i="51"/>
  <c r="Y31" i="51"/>
  <c r="Y32" i="51"/>
  <c r="Y33" i="51"/>
  <c r="Y34" i="51"/>
  <c r="Y35" i="51"/>
  <c r="Y36" i="51"/>
  <c r="Y37" i="51"/>
  <c r="Y38" i="51"/>
  <c r="Y39" i="51"/>
  <c r="Y40" i="51"/>
  <c r="Y41" i="51"/>
  <c r="Y42" i="51"/>
  <c r="Y43" i="51"/>
  <c r="Y44" i="51"/>
  <c r="V21" i="51"/>
  <c r="V22" i="51"/>
  <c r="V23" i="51"/>
  <c r="V24" i="51"/>
  <c r="V25" i="51"/>
  <c r="V26" i="51"/>
  <c r="V27" i="51"/>
  <c r="V28" i="51"/>
  <c r="V29" i="51"/>
  <c r="V30" i="51"/>
  <c r="V31" i="51"/>
  <c r="V32" i="51"/>
  <c r="V33" i="51"/>
  <c r="V34" i="51"/>
  <c r="V35" i="51"/>
  <c r="V36" i="51"/>
  <c r="V37" i="51"/>
  <c r="V38" i="51"/>
  <c r="V39" i="51"/>
  <c r="V40" i="51"/>
  <c r="V41" i="51"/>
  <c r="V42" i="51"/>
  <c r="V43" i="51"/>
  <c r="V44" i="51"/>
  <c r="A14" i="51" l="1"/>
  <c r="A15" i="51"/>
  <c r="A16" i="51"/>
  <c r="A17" i="51"/>
  <c r="A18" i="51"/>
  <c r="U18" i="51" s="1"/>
  <c r="A19" i="51"/>
  <c r="U19" i="51" s="1"/>
  <c r="A20" i="51"/>
  <c r="U20" i="51" s="1"/>
  <c r="A21" i="51"/>
  <c r="A22" i="51"/>
  <c r="A23" i="51"/>
  <c r="A24" i="51"/>
  <c r="A25" i="51"/>
  <c r="A26" i="51"/>
  <c r="A27" i="51"/>
  <c r="A28" i="51"/>
  <c r="A29" i="51"/>
  <c r="A30" i="51"/>
  <c r="A31" i="51"/>
  <c r="A32" i="51"/>
  <c r="A33" i="51"/>
  <c r="A34" i="51"/>
  <c r="A35" i="51"/>
  <c r="A36" i="51"/>
  <c r="A37" i="51"/>
  <c r="A38" i="51"/>
  <c r="A39" i="51"/>
  <c r="A40" i="51"/>
  <c r="A41" i="51"/>
  <c r="A42" i="51"/>
  <c r="A43" i="51"/>
  <c r="A44" i="51"/>
  <c r="A13" i="51"/>
  <c r="U14" i="51" l="1"/>
  <c r="R14" i="51"/>
  <c r="S14" i="51"/>
  <c r="J14" i="51"/>
  <c r="K14" i="51"/>
  <c r="U13" i="51"/>
  <c r="K13" i="51"/>
  <c r="J13" i="51"/>
  <c r="S13" i="51"/>
  <c r="R13" i="51"/>
  <c r="U15" i="51"/>
  <c r="R15" i="51"/>
  <c r="J15" i="51"/>
  <c r="S15" i="51"/>
  <c r="K15" i="51"/>
  <c r="U17" i="51"/>
  <c r="R17" i="51"/>
  <c r="S17" i="51"/>
  <c r="J17" i="51"/>
  <c r="K17" i="51"/>
  <c r="U16" i="51"/>
  <c r="R16" i="51"/>
  <c r="S16" i="51"/>
  <c r="J16" i="51"/>
  <c r="K16" i="51"/>
  <c r="T17" i="51"/>
  <c r="T18" i="51"/>
  <c r="T19" i="51"/>
  <c r="T20" i="51"/>
  <c r="T21" i="51"/>
  <c r="T22" i="51"/>
  <c r="T23" i="51"/>
  <c r="T24" i="51"/>
  <c r="T25" i="51"/>
  <c r="T26" i="51"/>
  <c r="T27" i="51"/>
  <c r="T28" i="51"/>
  <c r="T29" i="51"/>
  <c r="T30" i="51"/>
  <c r="T31" i="51"/>
  <c r="T32" i="51"/>
  <c r="T33" i="51"/>
  <c r="T34" i="51"/>
  <c r="T35" i="51"/>
  <c r="T36" i="51"/>
  <c r="T37" i="51"/>
  <c r="T38" i="51"/>
  <c r="T39" i="51"/>
  <c r="T40" i="51"/>
  <c r="T41" i="51"/>
  <c r="T42" i="51"/>
  <c r="T43" i="51"/>
  <c r="T44" i="51"/>
  <c r="L17" i="51"/>
  <c r="L18" i="51"/>
  <c r="L19" i="51"/>
  <c r="L20" i="51"/>
  <c r="L21" i="51"/>
  <c r="L22" i="51"/>
  <c r="L23" i="51"/>
  <c r="L24" i="51"/>
  <c r="L25" i="51"/>
  <c r="L26" i="51"/>
  <c r="L27" i="51"/>
  <c r="L28" i="51"/>
  <c r="L29" i="51"/>
  <c r="L30" i="51"/>
  <c r="L31" i="51"/>
  <c r="L32" i="51"/>
  <c r="L33" i="51"/>
  <c r="L34" i="51"/>
  <c r="L35" i="51"/>
  <c r="L36" i="51"/>
  <c r="L37" i="51"/>
  <c r="L38" i="51"/>
  <c r="L39" i="51"/>
  <c r="L40" i="51"/>
  <c r="L41" i="51"/>
  <c r="L42" i="51"/>
  <c r="L43" i="51"/>
  <c r="L44" i="51"/>
  <c r="M14" i="1"/>
  <c r="O14" i="1"/>
  <c r="Q14" i="1"/>
  <c r="Q17" i="1" l="1"/>
  <c r="O17" i="1"/>
  <c r="M17" i="1"/>
  <c r="Q16" i="1"/>
  <c r="O16" i="1"/>
  <c r="M16" i="1"/>
  <c r="W49" i="29" l="1"/>
  <c r="V49" i="29"/>
  <c r="U49" i="29"/>
  <c r="K49" i="29"/>
  <c r="J49" i="29"/>
  <c r="I49" i="29"/>
  <c r="R10" i="27" l="1"/>
  <c r="M7" i="51" l="1"/>
  <c r="M8" i="51"/>
  <c r="M6" i="51"/>
  <c r="M9" i="51" l="1"/>
  <c r="J43" i="67" l="1"/>
  <c r="M20" i="58" l="1"/>
  <c r="M21" i="58"/>
  <c r="M18" i="58"/>
  <c r="M19" i="58"/>
  <c r="M22" i="58"/>
  <c r="M23" i="58"/>
  <c r="N22" i="51" l="1"/>
  <c r="N23" i="51"/>
  <c r="N24" i="51"/>
  <c r="N25" i="51"/>
  <c r="N26" i="51"/>
  <c r="N27" i="51"/>
  <c r="N28" i="51"/>
  <c r="N29" i="51"/>
  <c r="N30" i="51"/>
  <c r="N31" i="51"/>
  <c r="N32" i="51"/>
  <c r="N33" i="51"/>
  <c r="N34" i="51"/>
  <c r="N35" i="51"/>
  <c r="N36" i="51"/>
  <c r="N37" i="51"/>
  <c r="N38" i="51"/>
  <c r="N39" i="51"/>
  <c r="N40" i="51"/>
  <c r="N41" i="51"/>
  <c r="N42" i="51"/>
  <c r="N43" i="51"/>
  <c r="N44" i="51"/>
  <c r="Q20" i="51" l="1"/>
  <c r="Q21" i="51"/>
  <c r="Q22" i="51"/>
  <c r="Q23" i="51"/>
  <c r="Q24" i="51"/>
  <c r="Q25" i="51"/>
  <c r="Q26" i="51"/>
  <c r="Q27" i="51"/>
  <c r="Q28" i="51"/>
  <c r="Q29" i="51"/>
  <c r="Q30" i="51"/>
  <c r="Q31" i="51"/>
  <c r="Q32" i="51"/>
  <c r="Q33" i="51"/>
  <c r="Q34" i="51"/>
  <c r="Q35" i="51"/>
  <c r="Q36" i="51"/>
  <c r="Q37" i="51"/>
  <c r="Q38" i="51"/>
  <c r="Q39" i="51"/>
  <c r="Q40" i="51"/>
  <c r="Q41" i="51"/>
  <c r="Q42" i="51"/>
  <c r="Q43" i="51"/>
  <c r="Q44" i="51"/>
  <c r="I68" i="28" l="1"/>
  <c r="H68" i="28"/>
  <c r="L68" i="28" s="1"/>
  <c r="G68" i="28"/>
  <c r="J68" i="28" s="1"/>
  <c r="I67" i="28"/>
  <c r="H67" i="28"/>
  <c r="L67" i="28" s="1"/>
  <c r="G67" i="28"/>
  <c r="J67" i="28" s="1"/>
  <c r="I66" i="28"/>
  <c r="H66" i="28"/>
  <c r="L66" i="28" s="1"/>
  <c r="G66" i="28"/>
  <c r="J66" i="28" s="1"/>
  <c r="I65" i="28"/>
  <c r="H65" i="28"/>
  <c r="L65" i="28" s="1"/>
  <c r="G65" i="28"/>
  <c r="J65" i="28" s="1"/>
  <c r="I64" i="28"/>
  <c r="H64" i="28"/>
  <c r="L64" i="28" s="1"/>
  <c r="G64" i="28"/>
  <c r="J64" i="28" s="1"/>
  <c r="I63" i="28"/>
  <c r="H63" i="28"/>
  <c r="L63" i="28" s="1"/>
  <c r="G63" i="28"/>
  <c r="J63" i="28" s="1"/>
  <c r="I62" i="28"/>
  <c r="H62" i="28"/>
  <c r="L62" i="28" s="1"/>
  <c r="G62" i="28"/>
  <c r="J62" i="28" s="1"/>
  <c r="I61" i="28"/>
  <c r="H61" i="28"/>
  <c r="L61" i="28" s="1"/>
  <c r="G61" i="28"/>
  <c r="J61" i="28" s="1"/>
  <c r="I60" i="28"/>
  <c r="H60" i="28"/>
  <c r="L60" i="28" s="1"/>
  <c r="G60" i="28"/>
  <c r="J60" i="28" s="1"/>
  <c r="I59" i="28"/>
  <c r="H59" i="28"/>
  <c r="L59" i="28" s="1"/>
  <c r="G59" i="28"/>
  <c r="J59" i="28" s="1"/>
  <c r="I58" i="28"/>
  <c r="H58" i="28"/>
  <c r="L58" i="28" s="1"/>
  <c r="G58" i="28"/>
  <c r="J58" i="28" s="1"/>
  <c r="I57" i="28"/>
  <c r="H57" i="28"/>
  <c r="L57" i="28" s="1"/>
  <c r="G57" i="28"/>
  <c r="J57" i="28" s="1"/>
  <c r="I56" i="28"/>
  <c r="H56" i="28"/>
  <c r="L56" i="28" s="1"/>
  <c r="G56" i="28"/>
  <c r="J56" i="28" s="1"/>
  <c r="I55" i="28"/>
  <c r="H55" i="28"/>
  <c r="L55" i="28" s="1"/>
  <c r="G55" i="28"/>
  <c r="M16" i="58"/>
  <c r="K55" i="28" l="1"/>
  <c r="J55" i="28"/>
  <c r="J69" i="28" s="1"/>
  <c r="M56" i="28"/>
  <c r="M57" i="28"/>
  <c r="M58" i="28"/>
  <c r="M59" i="28"/>
  <c r="M60" i="28"/>
  <c r="M61" i="28"/>
  <c r="M62" i="28"/>
  <c r="M63" i="28"/>
  <c r="M64" i="28"/>
  <c r="M65" i="28"/>
  <c r="M66" i="28"/>
  <c r="M67" i="28"/>
  <c r="M55" i="28"/>
  <c r="L69" i="28"/>
  <c r="D20" i="67" s="1"/>
  <c r="M68" i="28"/>
  <c r="K56" i="28"/>
  <c r="K57" i="28"/>
  <c r="K58" i="28"/>
  <c r="K59" i="28"/>
  <c r="K60" i="28"/>
  <c r="K61" i="28"/>
  <c r="K62" i="28"/>
  <c r="K63" i="28"/>
  <c r="K64" i="28"/>
  <c r="K65" i="28"/>
  <c r="K66" i="28"/>
  <c r="K67" i="28"/>
  <c r="K68" i="28"/>
  <c r="D3" i="67"/>
  <c r="I6" i="67"/>
  <c r="I5" i="67"/>
  <c r="I4" i="67"/>
  <c r="I3" i="67"/>
  <c r="I2" i="67"/>
  <c r="M69" i="28" l="1"/>
  <c r="E20" i="67" s="1"/>
  <c r="K69" i="28"/>
  <c r="C20" i="67" s="1"/>
  <c r="AE22" i="51"/>
  <c r="AE23" i="51"/>
  <c r="AE26" i="51"/>
  <c r="AE27" i="51"/>
  <c r="AE28" i="51"/>
  <c r="AE29" i="51"/>
  <c r="AE30" i="51"/>
  <c r="AE31" i="51"/>
  <c r="AE32" i="51"/>
  <c r="AE33" i="51"/>
  <c r="AE34" i="51"/>
  <c r="AE35" i="51"/>
  <c r="AE36" i="51"/>
  <c r="AE37" i="51"/>
  <c r="AE38" i="51"/>
  <c r="AE39" i="51"/>
  <c r="AE40" i="51"/>
  <c r="AE41" i="51"/>
  <c r="AE42" i="51"/>
  <c r="AE43" i="51"/>
  <c r="AE44" i="51"/>
  <c r="E7" i="48" l="1"/>
  <c r="E8" i="48"/>
  <c r="E9"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42" i="48"/>
  <c r="E43" i="48"/>
  <c r="E44" i="48"/>
  <c r="E45" i="48"/>
  <c r="E46" i="48"/>
  <c r="E47" i="48"/>
  <c r="E48" i="48"/>
  <c r="E49" i="48"/>
  <c r="E50" i="48"/>
  <c r="E51" i="48"/>
  <c r="E52" i="48"/>
  <c r="E53" i="48"/>
  <c r="E54" i="48"/>
  <c r="E55" i="48"/>
  <c r="E56" i="48"/>
  <c r="E57" i="48"/>
  <c r="E58" i="48"/>
  <c r="E59" i="48"/>
  <c r="E60" i="48"/>
  <c r="E61" i="48"/>
  <c r="E6" i="48"/>
  <c r="W75" i="29" l="1"/>
  <c r="V75" i="29"/>
  <c r="U75" i="29"/>
  <c r="W74" i="29"/>
  <c r="V74" i="29"/>
  <c r="U74" i="29"/>
  <c r="W73" i="29"/>
  <c r="V73" i="29"/>
  <c r="U73" i="29"/>
  <c r="W72" i="29"/>
  <c r="V72" i="29"/>
  <c r="U72" i="29"/>
  <c r="W53" i="29"/>
  <c r="V53" i="29"/>
  <c r="U53" i="29"/>
  <c r="W52" i="29"/>
  <c r="V52" i="29"/>
  <c r="U52" i="29"/>
  <c r="W51" i="29"/>
  <c r="V51" i="29"/>
  <c r="U51" i="29"/>
  <c r="W50" i="29"/>
  <c r="V50" i="29"/>
  <c r="U50" i="29"/>
  <c r="W48" i="29"/>
  <c r="V48" i="29"/>
  <c r="U48" i="29"/>
  <c r="W47" i="29"/>
  <c r="V47" i="29"/>
  <c r="U47" i="29"/>
  <c r="W46" i="29"/>
  <c r="V46" i="29"/>
  <c r="U46" i="29"/>
  <c r="W45" i="29"/>
  <c r="V45" i="29"/>
  <c r="U45" i="29"/>
  <c r="W44" i="29"/>
  <c r="V44" i="29"/>
  <c r="U44" i="29"/>
  <c r="W43" i="29"/>
  <c r="V43" i="29"/>
  <c r="U43" i="29"/>
  <c r="W42" i="29"/>
  <c r="V42" i="29"/>
  <c r="U42" i="29"/>
  <c r="W41" i="29"/>
  <c r="V41" i="29"/>
  <c r="U41" i="29"/>
  <c r="W40" i="29"/>
  <c r="V40" i="29"/>
  <c r="U40" i="29"/>
  <c r="W39" i="29"/>
  <c r="V39" i="29"/>
  <c r="U39" i="29"/>
  <c r="W38" i="29"/>
  <c r="V38" i="29"/>
  <c r="U38" i="29"/>
  <c r="W37" i="29"/>
  <c r="V37" i="29"/>
  <c r="U37" i="29"/>
  <c r="W36" i="29"/>
  <c r="V36" i="29"/>
  <c r="U36" i="29"/>
  <c r="W35" i="29"/>
  <c r="V35" i="29"/>
  <c r="U35" i="29"/>
  <c r="W34" i="29"/>
  <c r="V34" i="29"/>
  <c r="U34" i="29"/>
  <c r="W33" i="29"/>
  <c r="V33" i="29"/>
  <c r="U33" i="29"/>
  <c r="W32" i="29"/>
  <c r="V32" i="29"/>
  <c r="U32" i="29"/>
  <c r="W31" i="29"/>
  <c r="V31" i="29"/>
  <c r="U31" i="29"/>
  <c r="W30" i="29"/>
  <c r="V30" i="29"/>
  <c r="U30" i="29"/>
  <c r="W29" i="29"/>
  <c r="V29" i="29"/>
  <c r="U29" i="29"/>
  <c r="W28" i="29"/>
  <c r="V28" i="29"/>
  <c r="U28" i="29"/>
  <c r="W27" i="29"/>
  <c r="V27" i="29"/>
  <c r="U27" i="29"/>
  <c r="W26" i="29"/>
  <c r="V26" i="29"/>
  <c r="U26" i="29"/>
  <c r="W25" i="29"/>
  <c r="V25" i="29"/>
  <c r="U25" i="29"/>
  <c r="W24" i="29"/>
  <c r="V24" i="29"/>
  <c r="U24" i="29"/>
  <c r="W23" i="29"/>
  <c r="V23" i="29"/>
  <c r="U23" i="29"/>
  <c r="W22" i="29"/>
  <c r="V22" i="29"/>
  <c r="U22" i="29"/>
  <c r="W21" i="29"/>
  <c r="V21" i="29"/>
  <c r="U21" i="29"/>
  <c r="W20" i="29"/>
  <c r="V20" i="29"/>
  <c r="U20" i="29"/>
  <c r="W19" i="29"/>
  <c r="V19" i="29"/>
  <c r="U19" i="29"/>
  <c r="W18" i="29"/>
  <c r="V18" i="29"/>
  <c r="U18" i="29"/>
  <c r="W17" i="29"/>
  <c r="V17" i="29"/>
  <c r="U17" i="29"/>
  <c r="W16" i="29"/>
  <c r="V16" i="29"/>
  <c r="U16" i="29"/>
  <c r="W15" i="29"/>
  <c r="V15" i="29"/>
  <c r="U15" i="29"/>
  <c r="W14" i="29"/>
  <c r="V14" i="29"/>
  <c r="U14" i="29"/>
  <c r="W13" i="29"/>
  <c r="V13" i="29"/>
  <c r="U13" i="29"/>
  <c r="W12" i="29"/>
  <c r="V12" i="29"/>
  <c r="U12" i="29"/>
  <c r="W11" i="29"/>
  <c r="V11" i="29"/>
  <c r="U11" i="29"/>
  <c r="W10" i="29"/>
  <c r="V10" i="29"/>
  <c r="U10" i="29"/>
  <c r="W9" i="29"/>
  <c r="V9" i="29"/>
  <c r="U9" i="29"/>
  <c r="W8" i="29"/>
  <c r="V8" i="29"/>
  <c r="U8" i="29"/>
  <c r="AC78" i="6" l="1"/>
  <c r="AC76" i="6"/>
  <c r="P36" i="27"/>
  <c r="P37" i="27"/>
  <c r="P38" i="27"/>
  <c r="P39" i="27"/>
  <c r="P40" i="27"/>
  <c r="P41" i="27"/>
  <c r="P35" i="27"/>
  <c r="AD61" i="6"/>
  <c r="AD59" i="6"/>
  <c r="AI17" i="6"/>
  <c r="AH17" i="6"/>
  <c r="AG17" i="6"/>
  <c r="V17" i="6"/>
  <c r="L36" i="27"/>
  <c r="L37" i="27"/>
  <c r="L38" i="27"/>
  <c r="L39" i="27"/>
  <c r="L40" i="27"/>
  <c r="L41" i="27"/>
  <c r="L35" i="27"/>
  <c r="K36" i="27"/>
  <c r="K37" i="27"/>
  <c r="K38" i="27"/>
  <c r="K39" i="27"/>
  <c r="K40" i="27"/>
  <c r="K41" i="27"/>
  <c r="K35" i="27"/>
  <c r="J36" i="27"/>
  <c r="J37" i="27"/>
  <c r="J38" i="27"/>
  <c r="J39" i="27"/>
  <c r="J40" i="27"/>
  <c r="J41" i="27"/>
  <c r="J35" i="27"/>
  <c r="P46" i="27"/>
  <c r="Q46" i="27"/>
  <c r="P47" i="27"/>
  <c r="Q47" i="27"/>
  <c r="P48" i="27"/>
  <c r="Q48" i="27"/>
  <c r="P49" i="27"/>
  <c r="Q49" i="27"/>
  <c r="P50" i="27"/>
  <c r="Q50" i="27"/>
  <c r="P51" i="27"/>
  <c r="Q51" i="27"/>
  <c r="P52" i="27"/>
  <c r="Q52" i="27"/>
  <c r="P53" i="27"/>
  <c r="Q53" i="27"/>
  <c r="P54" i="27"/>
  <c r="Q54" i="27"/>
  <c r="P55" i="27"/>
  <c r="Q55" i="27"/>
  <c r="P56" i="27"/>
  <c r="Q56" i="27"/>
  <c r="P57" i="27"/>
  <c r="Q57" i="27"/>
  <c r="P58" i="27"/>
  <c r="Q58" i="27"/>
  <c r="P59" i="27"/>
  <c r="Q59" i="27"/>
  <c r="P60" i="27"/>
  <c r="Q60" i="27"/>
  <c r="P61" i="27"/>
  <c r="Q61" i="27"/>
  <c r="P62" i="27"/>
  <c r="Q62" i="27"/>
  <c r="P63" i="27"/>
  <c r="Q63" i="27"/>
  <c r="P64" i="27"/>
  <c r="Q64" i="27"/>
  <c r="P65" i="27"/>
  <c r="Q65" i="27"/>
  <c r="Q45" i="27"/>
  <c r="P45" i="27"/>
  <c r="V12" i="27"/>
  <c r="V13" i="27"/>
  <c r="V14" i="27"/>
  <c r="X14" i="27" s="1"/>
  <c r="V15" i="27"/>
  <c r="V16" i="27"/>
  <c r="V17" i="27"/>
  <c r="X17" i="27" s="1"/>
  <c r="V18" i="27"/>
  <c r="X18" i="27" s="1"/>
  <c r="V19" i="27"/>
  <c r="V20" i="27"/>
  <c r="V21" i="27"/>
  <c r="V22" i="27"/>
  <c r="X22" i="27" s="1"/>
  <c r="V23" i="27"/>
  <c r="V24" i="27"/>
  <c r="V25" i="27"/>
  <c r="X25" i="27" s="1"/>
  <c r="V26" i="27"/>
  <c r="X26" i="27" s="1"/>
  <c r="V27" i="27"/>
  <c r="V28" i="27"/>
  <c r="V29" i="27"/>
  <c r="V30" i="27"/>
  <c r="X30" i="27" s="1"/>
  <c r="Z30" i="27" s="1"/>
  <c r="R12" i="27"/>
  <c r="R13" i="27"/>
  <c r="R14" i="27"/>
  <c r="R15" i="27"/>
  <c r="R16" i="27"/>
  <c r="R17" i="27"/>
  <c r="R18" i="27"/>
  <c r="R19" i="27"/>
  <c r="R20" i="27"/>
  <c r="R21" i="27"/>
  <c r="R22" i="27"/>
  <c r="R23" i="27"/>
  <c r="R24" i="27"/>
  <c r="R25" i="27"/>
  <c r="R26" i="27"/>
  <c r="R27" i="27"/>
  <c r="R28" i="27"/>
  <c r="R29" i="27"/>
  <c r="R30" i="27"/>
  <c r="O30" i="27"/>
  <c r="O29" i="27"/>
  <c r="O28" i="27"/>
  <c r="O27" i="27"/>
  <c r="O26" i="27"/>
  <c r="O25" i="27"/>
  <c r="O24" i="27"/>
  <c r="O23" i="27"/>
  <c r="O22" i="27"/>
  <c r="O21" i="27"/>
  <c r="O20" i="27"/>
  <c r="O19" i="27"/>
  <c r="O18" i="27"/>
  <c r="O17" i="27"/>
  <c r="O16" i="27"/>
  <c r="O15" i="27"/>
  <c r="O14" i="27"/>
  <c r="O13" i="27"/>
  <c r="O12" i="27"/>
  <c r="O11" i="27"/>
  <c r="O10" i="27"/>
  <c r="N11" i="27"/>
  <c r="N12" i="27"/>
  <c r="N13" i="27"/>
  <c r="N14" i="27"/>
  <c r="N15" i="27"/>
  <c r="N16" i="27"/>
  <c r="N17" i="27"/>
  <c r="N18" i="27"/>
  <c r="N19" i="27"/>
  <c r="N20" i="27"/>
  <c r="N21" i="27"/>
  <c r="N22" i="27"/>
  <c r="N23" i="27"/>
  <c r="N24" i="27"/>
  <c r="N25" i="27"/>
  <c r="N26" i="27"/>
  <c r="N27" i="27"/>
  <c r="N28" i="27"/>
  <c r="N29" i="27"/>
  <c r="N30" i="27"/>
  <c r="N10" i="27"/>
  <c r="M11" i="27"/>
  <c r="M12" i="27"/>
  <c r="M13" i="27"/>
  <c r="M14" i="27"/>
  <c r="M15" i="27"/>
  <c r="M16" i="27"/>
  <c r="M17" i="27"/>
  <c r="M18" i="27"/>
  <c r="M19" i="27"/>
  <c r="M20" i="27"/>
  <c r="M21" i="27"/>
  <c r="M22" i="27"/>
  <c r="M23" i="27"/>
  <c r="M24" i="27"/>
  <c r="M25" i="27"/>
  <c r="M26" i="27"/>
  <c r="M27" i="27"/>
  <c r="M28" i="27"/>
  <c r="M29" i="27"/>
  <c r="M30" i="27"/>
  <c r="M10" i="27"/>
  <c r="L11" i="27"/>
  <c r="L12" i="27"/>
  <c r="L13" i="27"/>
  <c r="L14" i="27"/>
  <c r="L15" i="27"/>
  <c r="L16" i="27"/>
  <c r="L17" i="27"/>
  <c r="L18" i="27"/>
  <c r="L19" i="27"/>
  <c r="L20" i="27"/>
  <c r="L21" i="27"/>
  <c r="L22" i="27"/>
  <c r="L23" i="27"/>
  <c r="L24" i="27"/>
  <c r="L25" i="27"/>
  <c r="L26" i="27"/>
  <c r="L27" i="27"/>
  <c r="L28" i="27"/>
  <c r="L29" i="27"/>
  <c r="L30" i="27"/>
  <c r="L10" i="27"/>
  <c r="K11" i="27"/>
  <c r="K12" i="27"/>
  <c r="K13" i="27"/>
  <c r="K14" i="27"/>
  <c r="K15" i="27"/>
  <c r="K16" i="27"/>
  <c r="K17" i="27"/>
  <c r="K18" i="27"/>
  <c r="K19" i="27"/>
  <c r="K20" i="27"/>
  <c r="K21" i="27"/>
  <c r="K22" i="27"/>
  <c r="K23" i="27"/>
  <c r="K24" i="27"/>
  <c r="K25" i="27"/>
  <c r="K26" i="27"/>
  <c r="K27" i="27"/>
  <c r="K28" i="27"/>
  <c r="K29" i="27"/>
  <c r="K30" i="27"/>
  <c r="K10" i="27"/>
  <c r="I14" i="27"/>
  <c r="T10" i="27" l="1"/>
  <c r="T19" i="27"/>
  <c r="U28" i="27"/>
  <c r="U16" i="27"/>
  <c r="T11" i="27"/>
  <c r="T23" i="27"/>
  <c r="U20" i="27"/>
  <c r="T27" i="27"/>
  <c r="T15" i="27"/>
  <c r="U24" i="27"/>
  <c r="U12" i="27"/>
  <c r="U10" i="27"/>
  <c r="U23" i="27"/>
  <c r="T18" i="27"/>
  <c r="T26" i="27"/>
  <c r="U15" i="27"/>
  <c r="T20" i="27"/>
  <c r="U25" i="27"/>
  <c r="T28" i="27"/>
  <c r="T12" i="27"/>
  <c r="U17" i="27"/>
  <c r="X23" i="27"/>
  <c r="Z23" i="27" s="1"/>
  <c r="X15" i="27"/>
  <c r="Z15" i="27" s="1"/>
  <c r="T24" i="27"/>
  <c r="T16" i="27"/>
  <c r="U29" i="27"/>
  <c r="U21" i="27"/>
  <c r="U13" i="27"/>
  <c r="Z25" i="27"/>
  <c r="Z17" i="27"/>
  <c r="X29" i="27"/>
  <c r="Z29" i="27" s="1"/>
  <c r="X21" i="27"/>
  <c r="Z21" i="27" s="1"/>
  <c r="X13" i="27"/>
  <c r="Z13" i="27" s="1"/>
  <c r="T30" i="27"/>
  <c r="T22" i="27"/>
  <c r="T14" i="27"/>
  <c r="U27" i="27"/>
  <c r="U19" i="27"/>
  <c r="U11" i="27"/>
  <c r="X27" i="27"/>
  <c r="Z27" i="27" s="1"/>
  <c r="X19" i="27"/>
  <c r="Z19" i="27" s="1"/>
  <c r="Z26" i="27"/>
  <c r="Z22" i="27"/>
  <c r="Z18" i="27"/>
  <c r="Z14" i="27"/>
  <c r="T29" i="27"/>
  <c r="T25" i="27"/>
  <c r="T21" i="27"/>
  <c r="T17" i="27"/>
  <c r="T13" i="27"/>
  <c r="U30" i="27"/>
  <c r="U26" i="27"/>
  <c r="U22" i="27"/>
  <c r="U18" i="27"/>
  <c r="U14" i="27"/>
  <c r="X28" i="27"/>
  <c r="Z28" i="27" s="1"/>
  <c r="X24" i="27"/>
  <c r="Z24" i="27" s="1"/>
  <c r="X20" i="27"/>
  <c r="Z20" i="27" s="1"/>
  <c r="X16" i="27"/>
  <c r="Z16" i="27" s="1"/>
  <c r="X12" i="27"/>
  <c r="Z12" i="27" s="1"/>
  <c r="I37" i="28" l="1"/>
  <c r="I38" i="28"/>
  <c r="I39" i="28"/>
  <c r="I40" i="28"/>
  <c r="I41" i="28"/>
  <c r="I42" i="28"/>
  <c r="I43" i="28"/>
  <c r="I44" i="28"/>
  <c r="I45" i="28"/>
  <c r="I46" i="28"/>
  <c r="I47" i="28"/>
  <c r="I48" i="28"/>
  <c r="I49" i="28"/>
  <c r="I36" i="28"/>
  <c r="H37" i="28"/>
  <c r="H38" i="28"/>
  <c r="H39" i="28"/>
  <c r="H40" i="28"/>
  <c r="H41" i="28"/>
  <c r="H42" i="28"/>
  <c r="H43" i="28"/>
  <c r="H44" i="28"/>
  <c r="H45" i="28"/>
  <c r="H46" i="28"/>
  <c r="H47" i="28"/>
  <c r="H48" i="28"/>
  <c r="H49" i="28"/>
  <c r="H36" i="28"/>
  <c r="G37" i="28"/>
  <c r="G38" i="28"/>
  <c r="G39" i="28"/>
  <c r="G40" i="28"/>
  <c r="G41" i="28"/>
  <c r="G42" i="28"/>
  <c r="G43" i="28"/>
  <c r="G44" i="28"/>
  <c r="G45" i="28"/>
  <c r="G46" i="28"/>
  <c r="G47" i="28"/>
  <c r="G48" i="28"/>
  <c r="G49" i="28"/>
  <c r="G36" i="28"/>
  <c r="K36" i="28" s="1"/>
  <c r="J47" i="28" l="1"/>
  <c r="J43" i="28"/>
  <c r="J36" i="28"/>
  <c r="J49" i="28"/>
  <c r="J45" i="28"/>
  <c r="J41" i="28"/>
  <c r="J37" i="28"/>
  <c r="J48" i="28"/>
  <c r="J44" i="28"/>
  <c r="J40" i="28"/>
  <c r="J39" i="28"/>
  <c r="J46" i="28"/>
  <c r="J42" i="28"/>
  <c r="J38" i="28"/>
  <c r="I11" i="27"/>
  <c r="I12" i="27"/>
  <c r="I13" i="27"/>
  <c r="I15" i="27"/>
  <c r="I16" i="27"/>
  <c r="I17" i="27"/>
  <c r="I18" i="27"/>
  <c r="I19" i="27"/>
  <c r="I20" i="27"/>
  <c r="I21" i="27"/>
  <c r="I22" i="27"/>
  <c r="I23" i="27"/>
  <c r="I24" i="27"/>
  <c r="I25" i="27"/>
  <c r="I26" i="27"/>
  <c r="I27" i="27"/>
  <c r="I28" i="27"/>
  <c r="I29" i="27"/>
  <c r="I30" i="27"/>
  <c r="I10" i="27"/>
  <c r="J50" i="28" l="1"/>
  <c r="U15" i="67" s="1"/>
  <c r="C104" i="6"/>
  <c r="C105" i="6"/>
  <c r="C106" i="6"/>
  <c r="C107" i="6"/>
  <c r="C108" i="6"/>
  <c r="C103" i="6"/>
  <c r="Z48" i="27" l="1"/>
  <c r="Z49" i="27"/>
  <c r="Z50" i="27"/>
  <c r="Z51" i="27"/>
  <c r="Z52" i="27"/>
  <c r="Z53" i="27"/>
  <c r="Z54" i="27"/>
  <c r="Z55" i="27"/>
  <c r="Z56" i="27"/>
  <c r="Z57" i="27"/>
  <c r="Z58" i="27"/>
  <c r="Z59" i="27"/>
  <c r="Z60" i="27"/>
  <c r="Z61" i="27"/>
  <c r="Z62" i="27"/>
  <c r="Z63" i="27"/>
  <c r="Z64" i="27"/>
  <c r="Z65" i="27"/>
  <c r="X48" i="27"/>
  <c r="X49" i="27"/>
  <c r="X50" i="27"/>
  <c r="X51" i="27"/>
  <c r="X52" i="27"/>
  <c r="X53" i="27"/>
  <c r="X54" i="27"/>
  <c r="X55" i="27"/>
  <c r="X56" i="27"/>
  <c r="X57" i="27"/>
  <c r="X58" i="27"/>
  <c r="X59" i="27"/>
  <c r="X60" i="27"/>
  <c r="X61" i="27"/>
  <c r="X62" i="27"/>
  <c r="X63" i="27"/>
  <c r="X64" i="27"/>
  <c r="X65" i="27"/>
  <c r="V48" i="27"/>
  <c r="V49" i="27"/>
  <c r="V50" i="27"/>
  <c r="V51" i="27"/>
  <c r="V52" i="27"/>
  <c r="V53" i="27"/>
  <c r="V54" i="27"/>
  <c r="V55" i="27"/>
  <c r="V56" i="27"/>
  <c r="V57" i="27"/>
  <c r="V58" i="27"/>
  <c r="V59" i="27"/>
  <c r="V60" i="27"/>
  <c r="V61" i="27"/>
  <c r="V62" i="27"/>
  <c r="V63" i="27"/>
  <c r="V64" i="27"/>
  <c r="V65" i="27"/>
  <c r="U46" i="27"/>
  <c r="U47" i="27"/>
  <c r="U48" i="27"/>
  <c r="U49" i="27"/>
  <c r="U50" i="27"/>
  <c r="U51" i="27"/>
  <c r="U52" i="27"/>
  <c r="U53" i="27"/>
  <c r="U54" i="27"/>
  <c r="U55" i="27"/>
  <c r="U56" i="27"/>
  <c r="U57" i="27"/>
  <c r="U58" i="27"/>
  <c r="U59" i="27"/>
  <c r="U60" i="27"/>
  <c r="U61" i="27"/>
  <c r="U62" i="27"/>
  <c r="U63" i="27"/>
  <c r="U64" i="27"/>
  <c r="U65" i="27"/>
  <c r="T46" i="27"/>
  <c r="T47" i="27"/>
  <c r="T48" i="27"/>
  <c r="T49" i="27"/>
  <c r="T50" i="27"/>
  <c r="T51" i="27"/>
  <c r="T52" i="27"/>
  <c r="T53" i="27"/>
  <c r="T54" i="27"/>
  <c r="T55" i="27"/>
  <c r="T56" i="27"/>
  <c r="T57" i="27"/>
  <c r="T58" i="27"/>
  <c r="T59" i="27"/>
  <c r="T60" i="27"/>
  <c r="T61" i="27"/>
  <c r="T62" i="27"/>
  <c r="T63" i="27"/>
  <c r="T64" i="27"/>
  <c r="T65" i="27"/>
  <c r="S46" i="27"/>
  <c r="S47" i="27"/>
  <c r="S48" i="27"/>
  <c r="S49" i="27"/>
  <c r="S50" i="27"/>
  <c r="S51" i="27"/>
  <c r="S52" i="27"/>
  <c r="S53" i="27"/>
  <c r="S54" i="27"/>
  <c r="S55" i="27"/>
  <c r="S56" i="27"/>
  <c r="S57" i="27"/>
  <c r="S58" i="27"/>
  <c r="S59" i="27"/>
  <c r="S60" i="27"/>
  <c r="S61" i="27"/>
  <c r="S62" i="27"/>
  <c r="S63" i="27"/>
  <c r="S64" i="27"/>
  <c r="S65" i="27"/>
  <c r="R48" i="27"/>
  <c r="R49" i="27"/>
  <c r="R50" i="27"/>
  <c r="R51" i="27"/>
  <c r="R52" i="27"/>
  <c r="R53" i="27"/>
  <c r="R54" i="27"/>
  <c r="R55" i="27"/>
  <c r="R56" i="27"/>
  <c r="R57" i="27"/>
  <c r="R58" i="27"/>
  <c r="R59" i="27"/>
  <c r="R60" i="27"/>
  <c r="R61" i="27"/>
  <c r="R62" i="27"/>
  <c r="R63" i="27"/>
  <c r="R64" i="27"/>
  <c r="R65" i="27"/>
  <c r="Z37" i="27"/>
  <c r="Z39" i="27"/>
  <c r="Z40" i="27"/>
  <c r="Z41" i="27"/>
  <c r="X37" i="27"/>
  <c r="X39" i="27"/>
  <c r="X40" i="27"/>
  <c r="X41" i="27"/>
  <c r="V37" i="27"/>
  <c r="V39" i="27"/>
  <c r="V40" i="27"/>
  <c r="V41" i="27"/>
  <c r="V35" i="27"/>
  <c r="X35" i="27" s="1"/>
  <c r="U40" i="27"/>
  <c r="U41" i="27"/>
  <c r="T40" i="27"/>
  <c r="T41" i="27"/>
  <c r="S39" i="27"/>
  <c r="S40" i="27"/>
  <c r="S41" i="27"/>
  <c r="R37" i="27"/>
  <c r="R39" i="27"/>
  <c r="R40" i="27"/>
  <c r="R41" i="27"/>
  <c r="R35" i="27"/>
  <c r="R36" i="27"/>
  <c r="S37" i="27"/>
  <c r="V38" i="27"/>
  <c r="S36" i="27" l="1"/>
  <c r="S38" i="27"/>
  <c r="R38" i="27"/>
  <c r="X38" i="27"/>
  <c r="Z38" i="27" s="1"/>
  <c r="V36" i="27"/>
  <c r="X36" i="27" s="1"/>
  <c r="Z36" i="27" s="1"/>
  <c r="Z35" i="27"/>
  <c r="M10" i="58"/>
  <c r="T13" i="51" l="1"/>
  <c r="L13" i="51"/>
  <c r="F13" i="51"/>
  <c r="Z13" i="51" l="1"/>
  <c r="V13" i="51"/>
  <c r="Y13" i="51"/>
  <c r="Q13" i="51"/>
  <c r="N13" i="51"/>
  <c r="O13" i="51"/>
  <c r="P13" i="51"/>
  <c r="AB13" i="51"/>
  <c r="M13" i="51" l="1"/>
  <c r="AC13" i="51"/>
  <c r="AE13" i="51"/>
  <c r="H6" i="48" l="1"/>
  <c r="F66" i="27"/>
  <c r="E31" i="27" l="1"/>
  <c r="E33" i="27" l="1"/>
  <c r="F67" i="27"/>
  <c r="E3" i="27" s="1"/>
  <c r="M12" i="67" l="1"/>
  <c r="E3" i="67"/>
  <c r="U20" i="67" s="1"/>
  <c r="M9" i="58"/>
  <c r="M11" i="58"/>
  <c r="M12" i="58"/>
  <c r="M13" i="58"/>
  <c r="M14" i="58"/>
  <c r="M15" i="58"/>
  <c r="M17" i="58"/>
  <c r="M26" i="58"/>
  <c r="M27" i="58"/>
  <c r="M28" i="58"/>
  <c r="E5" i="28" l="1"/>
  <c r="E7" i="28" s="1"/>
  <c r="E7" i="53"/>
  <c r="E9" i="53" s="1"/>
  <c r="U36" i="27"/>
  <c r="U37" i="27"/>
  <c r="U38" i="27"/>
  <c r="U39" i="27"/>
  <c r="T36" i="27"/>
  <c r="T37" i="27"/>
  <c r="T38" i="27"/>
  <c r="T39" i="27"/>
  <c r="S35" i="27"/>
  <c r="D6" i="27"/>
  <c r="D8" i="27" s="1"/>
  <c r="U35" i="27" l="1"/>
  <c r="T35" i="27"/>
  <c r="A11" i="53"/>
  <c r="H11" i="53" l="1"/>
  <c r="G11" i="53"/>
  <c r="I11" i="53"/>
  <c r="K27" i="67"/>
  <c r="L27" i="67"/>
  <c r="L26" i="67"/>
  <c r="K26" i="67"/>
  <c r="J27" i="67"/>
  <c r="J26" i="67"/>
  <c r="A33" i="53"/>
  <c r="J11" i="53" l="1"/>
  <c r="M11" i="53" s="1"/>
  <c r="I33" i="53"/>
  <c r="H33" i="53"/>
  <c r="G33" i="53"/>
  <c r="Q17" i="6" l="1"/>
  <c r="P17" i="6"/>
  <c r="O17" i="6"/>
  <c r="D17" i="6" l="1"/>
  <c r="K76" i="6" l="1"/>
  <c r="H61" i="48" l="1"/>
  <c r="F61" i="48"/>
  <c r="I61" i="48" s="1"/>
  <c r="G61" i="48"/>
  <c r="J61" i="48" s="1"/>
  <c r="G58" i="36"/>
  <c r="J58" i="36" s="1"/>
  <c r="H58" i="36"/>
  <c r="K58" i="36" s="1"/>
  <c r="G59" i="36"/>
  <c r="J59" i="36" s="1"/>
  <c r="H59" i="36"/>
  <c r="K59" i="36" s="1"/>
  <c r="A58" i="36"/>
  <c r="A59" i="36"/>
  <c r="F59" i="36" s="1"/>
  <c r="G44" i="36"/>
  <c r="J44" i="36" s="1"/>
  <c r="H44" i="36"/>
  <c r="K44" i="36" s="1"/>
  <c r="G45" i="36"/>
  <c r="J45" i="36" s="1"/>
  <c r="H45" i="36"/>
  <c r="K45" i="36" s="1"/>
  <c r="G46" i="36"/>
  <c r="J46" i="36" s="1"/>
  <c r="H46" i="36"/>
  <c r="K46" i="36" s="1"/>
  <c r="G47" i="36"/>
  <c r="J47" i="36" s="1"/>
  <c r="H47" i="36"/>
  <c r="K47" i="36" s="1"/>
  <c r="G48" i="36"/>
  <c r="J48" i="36" s="1"/>
  <c r="H48" i="36"/>
  <c r="K48" i="36" s="1"/>
  <c r="G49" i="36"/>
  <c r="J49" i="36" s="1"/>
  <c r="H49" i="36"/>
  <c r="K49" i="36" s="1"/>
  <c r="G50" i="36"/>
  <c r="J50" i="36" s="1"/>
  <c r="H50" i="36"/>
  <c r="K50" i="36" s="1"/>
  <c r="G51" i="36"/>
  <c r="J51" i="36" s="1"/>
  <c r="H51" i="36"/>
  <c r="K51" i="36" s="1"/>
  <c r="G52" i="36"/>
  <c r="J52" i="36" s="1"/>
  <c r="H52" i="36"/>
  <c r="K52" i="36" s="1"/>
  <c r="G53" i="36"/>
  <c r="J53" i="36" s="1"/>
  <c r="H53" i="36"/>
  <c r="K53" i="36" s="1"/>
  <c r="A44" i="36"/>
  <c r="A45" i="36"/>
  <c r="F45" i="36" s="1"/>
  <c r="A46" i="36"/>
  <c r="A47" i="36"/>
  <c r="F47" i="36" s="1"/>
  <c r="A48" i="36"/>
  <c r="A49" i="36"/>
  <c r="F49" i="36" s="1"/>
  <c r="A50" i="36"/>
  <c r="A51" i="36"/>
  <c r="F51" i="36" s="1"/>
  <c r="A52" i="36"/>
  <c r="A53" i="36"/>
  <c r="F53" i="36" s="1"/>
  <c r="F65" i="37"/>
  <c r="G65" i="37"/>
  <c r="H65" i="37"/>
  <c r="I65" i="37"/>
  <c r="J65" i="37"/>
  <c r="K65" i="37"/>
  <c r="F50" i="36" l="1"/>
  <c r="I50" i="36" s="1"/>
  <c r="F46" i="36"/>
  <c r="I46" i="36" s="1"/>
  <c r="F58" i="36"/>
  <c r="I58" i="36" s="1"/>
  <c r="F52" i="36"/>
  <c r="I52" i="36" s="1"/>
  <c r="F48" i="36"/>
  <c r="I48" i="36" s="1"/>
  <c r="F44" i="36"/>
  <c r="I44" i="36" s="1"/>
  <c r="I59" i="36"/>
  <c r="I51" i="36"/>
  <c r="I53" i="36"/>
  <c r="I49" i="36"/>
  <c r="I45" i="36"/>
  <c r="I47" i="36"/>
  <c r="I31" i="27" l="1"/>
  <c r="D30" i="58" l="1"/>
  <c r="M8" i="58" l="1"/>
  <c r="F32" i="49"/>
  <c r="F33" i="49"/>
  <c r="K33" i="49" s="1"/>
  <c r="F34" i="49"/>
  <c r="K34" i="49" s="1"/>
  <c r="E32" i="49"/>
  <c r="E33" i="49"/>
  <c r="J33" i="49" s="1"/>
  <c r="E34" i="49"/>
  <c r="J34" i="49" s="1"/>
  <c r="F31" i="49"/>
  <c r="E31" i="49"/>
  <c r="K32" i="49"/>
  <c r="D31" i="49"/>
  <c r="I31" i="49" s="1"/>
  <c r="D32" i="49"/>
  <c r="D33" i="49"/>
  <c r="D34" i="49"/>
  <c r="M29" i="58" l="1"/>
  <c r="R10" i="58" s="1"/>
  <c r="J31" i="49"/>
  <c r="J32" i="49"/>
  <c r="K31" i="49"/>
  <c r="G31" i="49"/>
  <c r="I41" i="67" l="1"/>
  <c r="H31" i="49"/>
  <c r="R8" i="58" l="1"/>
  <c r="O13" i="58" s="1"/>
  <c r="AG20" i="51"/>
  <c r="AG21" i="51"/>
  <c r="AG22" i="51"/>
  <c r="AG23" i="51"/>
  <c r="AG26" i="51"/>
  <c r="AG27" i="51"/>
  <c r="AG28" i="51"/>
  <c r="AG29" i="51"/>
  <c r="AG30" i="51"/>
  <c r="AG31" i="51"/>
  <c r="AG32" i="51"/>
  <c r="AG33" i="51"/>
  <c r="AG34" i="51"/>
  <c r="AG35" i="51"/>
  <c r="AG36" i="51"/>
  <c r="AG37" i="51"/>
  <c r="AG38" i="51"/>
  <c r="AG40" i="51"/>
  <c r="AG41" i="51"/>
  <c r="AG42" i="51"/>
  <c r="AG43" i="51"/>
  <c r="AG44" i="51"/>
  <c r="AF20" i="51"/>
  <c r="AF21" i="51"/>
  <c r="AF22" i="51"/>
  <c r="AF23" i="51"/>
  <c r="AF26" i="51"/>
  <c r="AF27" i="51"/>
  <c r="AF28" i="51"/>
  <c r="AF29" i="51"/>
  <c r="AF30" i="51"/>
  <c r="AF31" i="51"/>
  <c r="AF32" i="51"/>
  <c r="AF33" i="51"/>
  <c r="AF34" i="51"/>
  <c r="AF35" i="51"/>
  <c r="AF36" i="51"/>
  <c r="AF37" i="51"/>
  <c r="AF38" i="51"/>
  <c r="AF40" i="51"/>
  <c r="AF41" i="51"/>
  <c r="AF42" i="51"/>
  <c r="AF43" i="51"/>
  <c r="AF44" i="51"/>
  <c r="M40" i="28" l="1"/>
  <c r="M44" i="28"/>
  <c r="M48" i="28"/>
  <c r="L39" i="28"/>
  <c r="L43" i="28"/>
  <c r="L47" i="28"/>
  <c r="K38" i="28"/>
  <c r="K40" i="28"/>
  <c r="K42" i="28"/>
  <c r="K44" i="28"/>
  <c r="K46" i="28"/>
  <c r="K48" i="28"/>
  <c r="F72" i="37"/>
  <c r="H16" i="36"/>
  <c r="K16" i="36" s="1"/>
  <c r="H17" i="36"/>
  <c r="K17" i="36" s="1"/>
  <c r="H18" i="36"/>
  <c r="K18" i="36" s="1"/>
  <c r="H19" i="36"/>
  <c r="K19" i="36" s="1"/>
  <c r="H20" i="36"/>
  <c r="K20" i="36" s="1"/>
  <c r="H21" i="36"/>
  <c r="K21" i="36" s="1"/>
  <c r="H22" i="36"/>
  <c r="K22" i="36" s="1"/>
  <c r="H23" i="36"/>
  <c r="K23" i="36" s="1"/>
  <c r="H24" i="36"/>
  <c r="K24" i="36" s="1"/>
  <c r="H25" i="36"/>
  <c r="K25" i="36" s="1"/>
  <c r="H26" i="36"/>
  <c r="K26" i="36" s="1"/>
  <c r="H27" i="36"/>
  <c r="K27" i="36" s="1"/>
  <c r="H28" i="36"/>
  <c r="K28" i="36" s="1"/>
  <c r="H29" i="36"/>
  <c r="K29" i="36" s="1"/>
  <c r="H30" i="36"/>
  <c r="K30" i="36" s="1"/>
  <c r="H31" i="36"/>
  <c r="K31" i="36" s="1"/>
  <c r="H32" i="36"/>
  <c r="K32" i="36" s="1"/>
  <c r="H33" i="36"/>
  <c r="K33" i="36" s="1"/>
  <c r="H34" i="36"/>
  <c r="K34" i="36" s="1"/>
  <c r="H35" i="36"/>
  <c r="K35" i="36" s="1"/>
  <c r="H36" i="36"/>
  <c r="K36" i="36" s="1"/>
  <c r="H37" i="36"/>
  <c r="K37" i="36" s="1"/>
  <c r="H38" i="36"/>
  <c r="K38" i="36" s="1"/>
  <c r="H39" i="36"/>
  <c r="K39" i="36" s="1"/>
  <c r="H40" i="36"/>
  <c r="K40" i="36" s="1"/>
  <c r="H41" i="36"/>
  <c r="K41" i="36" s="1"/>
  <c r="H42" i="36"/>
  <c r="K42" i="36" s="1"/>
  <c r="H43" i="36"/>
  <c r="K43" i="36" s="1"/>
  <c r="H54" i="36"/>
  <c r="K54" i="36" s="1"/>
  <c r="H55" i="36"/>
  <c r="K55" i="36" s="1"/>
  <c r="H56" i="36"/>
  <c r="K56" i="36" s="1"/>
  <c r="H57" i="36"/>
  <c r="K57" i="36" s="1"/>
  <c r="H60" i="36"/>
  <c r="K60" i="36" s="1"/>
  <c r="H61" i="36"/>
  <c r="K61" i="36" s="1"/>
  <c r="G61" i="36"/>
  <c r="J61" i="36" s="1"/>
  <c r="G15" i="36"/>
  <c r="J15" i="36" s="1"/>
  <c r="G16" i="36"/>
  <c r="J16" i="36" s="1"/>
  <c r="G17" i="36"/>
  <c r="J17" i="36" s="1"/>
  <c r="G18" i="36"/>
  <c r="J18" i="36" s="1"/>
  <c r="G19" i="36"/>
  <c r="J19" i="36" s="1"/>
  <c r="G20" i="36"/>
  <c r="J20" i="36" s="1"/>
  <c r="G21" i="36"/>
  <c r="J21" i="36" s="1"/>
  <c r="G22" i="36"/>
  <c r="J22" i="36" s="1"/>
  <c r="G23" i="36"/>
  <c r="J23" i="36" s="1"/>
  <c r="G24" i="36"/>
  <c r="J24" i="36" s="1"/>
  <c r="G25" i="36"/>
  <c r="J25" i="36" s="1"/>
  <c r="G26" i="36"/>
  <c r="J26" i="36" s="1"/>
  <c r="G27" i="36"/>
  <c r="J27" i="36" s="1"/>
  <c r="G28" i="36"/>
  <c r="J28" i="36" s="1"/>
  <c r="G29" i="36"/>
  <c r="J29" i="36" s="1"/>
  <c r="G30" i="36"/>
  <c r="J30" i="36" s="1"/>
  <c r="G31" i="36"/>
  <c r="J31" i="36" s="1"/>
  <c r="G32" i="36"/>
  <c r="J32" i="36" s="1"/>
  <c r="G33" i="36"/>
  <c r="J33" i="36" s="1"/>
  <c r="G34" i="36"/>
  <c r="J34" i="36" s="1"/>
  <c r="G35" i="36"/>
  <c r="J35" i="36" s="1"/>
  <c r="G36" i="36"/>
  <c r="J36" i="36" s="1"/>
  <c r="G37" i="36"/>
  <c r="J37" i="36" s="1"/>
  <c r="G38" i="36"/>
  <c r="J38" i="36" s="1"/>
  <c r="G39" i="36"/>
  <c r="J39" i="36" s="1"/>
  <c r="G40" i="36"/>
  <c r="J40" i="36" s="1"/>
  <c r="G41" i="36"/>
  <c r="J41" i="36" s="1"/>
  <c r="G42" i="36"/>
  <c r="J42" i="36" s="1"/>
  <c r="G43" i="36"/>
  <c r="J43" i="36" s="1"/>
  <c r="G54" i="36"/>
  <c r="J54" i="36" s="1"/>
  <c r="G55" i="36"/>
  <c r="J55" i="36" s="1"/>
  <c r="G56" i="36"/>
  <c r="J56" i="36" s="1"/>
  <c r="G57" i="36"/>
  <c r="J57" i="36" s="1"/>
  <c r="G60" i="36"/>
  <c r="J60" i="36" s="1"/>
  <c r="A61" i="36"/>
  <c r="F61" i="36" s="1"/>
  <c r="A8" i="36"/>
  <c r="A9" i="36"/>
  <c r="A10" i="36"/>
  <c r="A11" i="36"/>
  <c r="A12" i="36"/>
  <c r="A13" i="36"/>
  <c r="F13" i="36" s="1"/>
  <c r="A14" i="36"/>
  <c r="F14" i="36" s="1"/>
  <c r="A15" i="36"/>
  <c r="F15" i="36" s="1"/>
  <c r="A16" i="36"/>
  <c r="F16" i="36" s="1"/>
  <c r="A17" i="36"/>
  <c r="A18" i="36"/>
  <c r="F18" i="36" s="1"/>
  <c r="A19" i="36"/>
  <c r="F19" i="36" s="1"/>
  <c r="A20" i="36"/>
  <c r="F20" i="36" s="1"/>
  <c r="A21" i="36"/>
  <c r="F21" i="36" s="1"/>
  <c r="A22" i="36"/>
  <c r="F22" i="36" s="1"/>
  <c r="A23" i="36"/>
  <c r="F23" i="36" s="1"/>
  <c r="A24" i="36"/>
  <c r="F24" i="36" s="1"/>
  <c r="A25" i="36"/>
  <c r="F25" i="36" s="1"/>
  <c r="A26" i="36"/>
  <c r="F26" i="36" s="1"/>
  <c r="A27" i="36"/>
  <c r="F27" i="36" s="1"/>
  <c r="A28" i="36"/>
  <c r="F28" i="36" s="1"/>
  <c r="A29" i="36"/>
  <c r="F29" i="36" s="1"/>
  <c r="A30" i="36"/>
  <c r="F30" i="36" s="1"/>
  <c r="A31" i="36"/>
  <c r="F31" i="36" s="1"/>
  <c r="A32" i="36"/>
  <c r="F32" i="36" s="1"/>
  <c r="A33" i="36"/>
  <c r="F33" i="36" s="1"/>
  <c r="A34" i="36"/>
  <c r="A35" i="36"/>
  <c r="F35" i="36" s="1"/>
  <c r="A36" i="36"/>
  <c r="F36" i="36" s="1"/>
  <c r="A37" i="36"/>
  <c r="F37" i="36" s="1"/>
  <c r="A38" i="36"/>
  <c r="F38" i="36" s="1"/>
  <c r="A39" i="36"/>
  <c r="F39" i="36" s="1"/>
  <c r="A40" i="36"/>
  <c r="F40" i="36" s="1"/>
  <c r="A41" i="36"/>
  <c r="F41" i="36" s="1"/>
  <c r="A42" i="36"/>
  <c r="F42" i="36" s="1"/>
  <c r="A43" i="36"/>
  <c r="F43" i="36" s="1"/>
  <c r="A54" i="36"/>
  <c r="F54" i="36" s="1"/>
  <c r="A55" i="36"/>
  <c r="F55" i="36" s="1"/>
  <c r="A56" i="36"/>
  <c r="F56" i="36" s="1"/>
  <c r="A57" i="36"/>
  <c r="F57" i="36" s="1"/>
  <c r="A60" i="36"/>
  <c r="F60" i="36" s="1"/>
  <c r="A7" i="36"/>
  <c r="I73" i="29"/>
  <c r="J73" i="29"/>
  <c r="K73" i="29"/>
  <c r="I74" i="29"/>
  <c r="J74" i="29"/>
  <c r="K74" i="29"/>
  <c r="I75" i="29"/>
  <c r="J75" i="29"/>
  <c r="K75" i="29"/>
  <c r="J72" i="29"/>
  <c r="K72" i="29"/>
  <c r="K52" i="29"/>
  <c r="J52" i="29"/>
  <c r="I52" i="29"/>
  <c r="I51" i="29"/>
  <c r="K51" i="29"/>
  <c r="H15" i="36" s="1"/>
  <c r="K15" i="36" s="1"/>
  <c r="J51" i="29"/>
  <c r="G10" i="36" s="1"/>
  <c r="J10" i="36" s="1"/>
  <c r="K14" i="29"/>
  <c r="J14" i="29"/>
  <c r="I14" i="29"/>
  <c r="K38" i="29"/>
  <c r="J38" i="29"/>
  <c r="I38" i="29"/>
  <c r="K20" i="29"/>
  <c r="J20" i="29"/>
  <c r="I20" i="29"/>
  <c r="K17" i="29"/>
  <c r="J17" i="29"/>
  <c r="I17" i="29"/>
  <c r="F17" i="36" l="1"/>
  <c r="I17" i="36" s="1"/>
  <c r="F11" i="36"/>
  <c r="F34" i="36"/>
  <c r="I34" i="36" s="1"/>
  <c r="F10" i="36"/>
  <c r="I10" i="36" s="1"/>
  <c r="F9" i="36"/>
  <c r="F12" i="36"/>
  <c r="F8" i="36"/>
  <c r="N46" i="28"/>
  <c r="N42" i="28"/>
  <c r="N38" i="28"/>
  <c r="N48" i="28"/>
  <c r="N44" i="28"/>
  <c r="N40" i="28"/>
  <c r="I60" i="36"/>
  <c r="I56" i="36"/>
  <c r="I54" i="36"/>
  <c r="I42" i="36"/>
  <c r="I40" i="36"/>
  <c r="I38" i="36"/>
  <c r="I36" i="36"/>
  <c r="I32" i="36"/>
  <c r="I30" i="36"/>
  <c r="I28" i="36"/>
  <c r="I26" i="36"/>
  <c r="I24" i="36"/>
  <c r="I57" i="36"/>
  <c r="I55" i="36"/>
  <c r="I43" i="36"/>
  <c r="I41" i="36"/>
  <c r="I39" i="36"/>
  <c r="I37" i="36"/>
  <c r="I35" i="36"/>
  <c r="I33" i="36"/>
  <c r="I31" i="36"/>
  <c r="I29" i="36"/>
  <c r="I27" i="36"/>
  <c r="I25" i="36"/>
  <c r="I23" i="36"/>
  <c r="I61" i="36"/>
  <c r="I22" i="36"/>
  <c r="I21" i="36"/>
  <c r="I20" i="36"/>
  <c r="I18" i="36"/>
  <c r="I19" i="36"/>
  <c r="I16" i="36"/>
  <c r="I15" i="36"/>
  <c r="H10" i="36"/>
  <c r="K10" i="36" s="1"/>
  <c r="L49" i="28"/>
  <c r="L41" i="28"/>
  <c r="M46" i="28"/>
  <c r="M38" i="28"/>
  <c r="L45" i="28"/>
  <c r="L37" i="28"/>
  <c r="M42" i="28"/>
  <c r="L48" i="28"/>
  <c r="L46" i="28"/>
  <c r="L44" i="28"/>
  <c r="L42" i="28"/>
  <c r="L40" i="28"/>
  <c r="L38" i="28"/>
  <c r="M49" i="28"/>
  <c r="M47" i="28"/>
  <c r="M45" i="28"/>
  <c r="M43" i="28"/>
  <c r="M41" i="28"/>
  <c r="M39" i="28"/>
  <c r="M37" i="28"/>
  <c r="K47" i="28"/>
  <c r="K43" i="28"/>
  <c r="K39" i="28"/>
  <c r="K49" i="28"/>
  <c r="K45" i="28"/>
  <c r="K41" i="28"/>
  <c r="K37" i="28"/>
  <c r="O38" i="28" l="1"/>
  <c r="O46" i="28"/>
  <c r="O44" i="28"/>
  <c r="N45" i="28"/>
  <c r="N37" i="28"/>
  <c r="N39" i="28"/>
  <c r="N41" i="28"/>
  <c r="N43" i="28"/>
  <c r="O48" i="28"/>
  <c r="N47" i="28"/>
  <c r="O40" i="28"/>
  <c r="O42" i="28"/>
  <c r="N49" i="28"/>
  <c r="H7" i="48"/>
  <c r="H8" i="48"/>
  <c r="H9" i="48"/>
  <c r="H10" i="48"/>
  <c r="H11"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5" i="48"/>
  <c r="H46" i="48"/>
  <c r="H47" i="48"/>
  <c r="H48" i="48"/>
  <c r="H49" i="48"/>
  <c r="H50" i="48"/>
  <c r="H51" i="48"/>
  <c r="H52" i="48"/>
  <c r="H53" i="48"/>
  <c r="H54" i="48"/>
  <c r="H55" i="48"/>
  <c r="H56" i="48"/>
  <c r="H57" i="48"/>
  <c r="H58" i="48"/>
  <c r="H59" i="48"/>
  <c r="H60" i="48"/>
  <c r="J35" i="49"/>
  <c r="D7" i="67" s="1"/>
  <c r="O43" i="28" l="1"/>
  <c r="O39" i="28"/>
  <c r="O41" i="28"/>
  <c r="O47" i="28"/>
  <c r="O45" i="28"/>
  <c r="O37" i="28"/>
  <c r="O49" i="28"/>
  <c r="H62" i="48"/>
  <c r="K35" i="49"/>
  <c r="E7" i="67" s="1"/>
  <c r="I34" i="49"/>
  <c r="I32" i="49"/>
  <c r="I33" i="49"/>
  <c r="C23" i="67" l="1"/>
  <c r="H32" i="49"/>
  <c r="H33" i="49"/>
  <c r="H34" i="49"/>
  <c r="I35" i="49"/>
  <c r="C7" i="67" s="1"/>
  <c r="M36" i="28"/>
  <c r="L36" i="28"/>
  <c r="I9" i="29"/>
  <c r="J9" i="29"/>
  <c r="K9" i="29"/>
  <c r="I10" i="29"/>
  <c r="J10" i="29"/>
  <c r="K10" i="29"/>
  <c r="I11" i="29"/>
  <c r="J11" i="29"/>
  <c r="K11" i="29"/>
  <c r="I12" i="29"/>
  <c r="J12" i="29"/>
  <c r="K12" i="29"/>
  <c r="I13" i="29"/>
  <c r="J13" i="29"/>
  <c r="K13" i="29"/>
  <c r="I15" i="29"/>
  <c r="J15" i="29"/>
  <c r="K15" i="29"/>
  <c r="I16" i="29"/>
  <c r="J16" i="29"/>
  <c r="K16" i="29"/>
  <c r="I18" i="29"/>
  <c r="J18" i="29"/>
  <c r="K18" i="29"/>
  <c r="I19" i="29"/>
  <c r="J19" i="29"/>
  <c r="K19" i="29"/>
  <c r="I21" i="29"/>
  <c r="J21" i="29"/>
  <c r="K21" i="29"/>
  <c r="I22" i="29"/>
  <c r="J22" i="29"/>
  <c r="K22" i="29"/>
  <c r="I23" i="29"/>
  <c r="J23" i="29"/>
  <c r="K23" i="29"/>
  <c r="I24" i="29"/>
  <c r="J24" i="29"/>
  <c r="K24" i="29"/>
  <c r="I25" i="29"/>
  <c r="J25" i="29"/>
  <c r="K25" i="29"/>
  <c r="I26" i="29"/>
  <c r="J26" i="29"/>
  <c r="K26" i="29"/>
  <c r="I27" i="29"/>
  <c r="J27" i="29"/>
  <c r="K27" i="29"/>
  <c r="I28" i="29"/>
  <c r="J28" i="29"/>
  <c r="K28" i="29"/>
  <c r="I29" i="29"/>
  <c r="J29" i="29"/>
  <c r="K29" i="29"/>
  <c r="I30" i="29"/>
  <c r="J30" i="29"/>
  <c r="K30" i="29"/>
  <c r="I31" i="29"/>
  <c r="J31" i="29"/>
  <c r="K31" i="29"/>
  <c r="I32" i="29"/>
  <c r="J32" i="29"/>
  <c r="K32" i="29"/>
  <c r="I33" i="29"/>
  <c r="J33" i="29"/>
  <c r="K33" i="29"/>
  <c r="I34" i="29"/>
  <c r="J34" i="29"/>
  <c r="K34" i="29"/>
  <c r="I35" i="29"/>
  <c r="J35" i="29"/>
  <c r="K35" i="29"/>
  <c r="I36" i="29"/>
  <c r="J36" i="29"/>
  <c r="K36" i="29"/>
  <c r="I37" i="29"/>
  <c r="J37" i="29"/>
  <c r="K37" i="29"/>
  <c r="I39" i="29"/>
  <c r="J39" i="29"/>
  <c r="K39" i="29"/>
  <c r="I40" i="29"/>
  <c r="I8" i="36" s="1"/>
  <c r="J40" i="29"/>
  <c r="G8" i="36" s="1"/>
  <c r="J8" i="36" s="1"/>
  <c r="K40" i="29"/>
  <c r="H8" i="36" s="1"/>
  <c r="K8" i="36" s="1"/>
  <c r="I41" i="29"/>
  <c r="J41" i="29"/>
  <c r="K41" i="29"/>
  <c r="I42" i="29"/>
  <c r="I9" i="36" s="1"/>
  <c r="J42" i="29"/>
  <c r="G9" i="36" s="1"/>
  <c r="J9" i="36" s="1"/>
  <c r="K42" i="29"/>
  <c r="H9" i="36" s="1"/>
  <c r="K9" i="36" s="1"/>
  <c r="I43" i="29"/>
  <c r="J43" i="29"/>
  <c r="K43" i="29"/>
  <c r="I44" i="29"/>
  <c r="J44" i="29"/>
  <c r="K44" i="29"/>
  <c r="I45" i="29"/>
  <c r="F7" i="36" s="1"/>
  <c r="I7" i="36" s="1"/>
  <c r="J45" i="29"/>
  <c r="G7" i="36" s="1"/>
  <c r="J7" i="36" s="1"/>
  <c r="K45" i="29"/>
  <c r="H7" i="36" s="1"/>
  <c r="K7" i="36" s="1"/>
  <c r="I46" i="29"/>
  <c r="J46" i="29"/>
  <c r="K46" i="29"/>
  <c r="I47" i="29"/>
  <c r="J47" i="29"/>
  <c r="K47" i="29"/>
  <c r="I48" i="29"/>
  <c r="J48" i="29"/>
  <c r="K48" i="29"/>
  <c r="I50" i="29"/>
  <c r="J50" i="29"/>
  <c r="K50" i="29"/>
  <c r="I53" i="29"/>
  <c r="J53" i="29"/>
  <c r="K53" i="29"/>
  <c r="I72" i="29"/>
  <c r="J8" i="29"/>
  <c r="K8" i="29"/>
  <c r="I8" i="29"/>
  <c r="A14" i="28"/>
  <c r="A15" i="28"/>
  <c r="A16" i="28"/>
  <c r="A17" i="28"/>
  <c r="A18" i="28"/>
  <c r="A19" i="28"/>
  <c r="A20" i="28"/>
  <c r="A21" i="28"/>
  <c r="A22" i="28"/>
  <c r="A23" i="28"/>
  <c r="A13" i="28"/>
  <c r="A24" i="28"/>
  <c r="A25" i="28"/>
  <c r="A26" i="28"/>
  <c r="A27" i="28"/>
  <c r="A28" i="28"/>
  <c r="A29" i="28"/>
  <c r="A30" i="28"/>
  <c r="A12" i="28"/>
  <c r="I27" i="28" l="1"/>
  <c r="H27" i="28"/>
  <c r="G27" i="28"/>
  <c r="I30" i="28"/>
  <c r="H30" i="28"/>
  <c r="G30" i="28"/>
  <c r="I19" i="28"/>
  <c r="H19" i="28"/>
  <c r="G19" i="28"/>
  <c r="I15" i="28"/>
  <c r="H15" i="28"/>
  <c r="G15" i="28"/>
  <c r="H12" i="28"/>
  <c r="I12" i="28"/>
  <c r="G12" i="28"/>
  <c r="H20" i="28"/>
  <c r="G20" i="28"/>
  <c r="I20" i="28"/>
  <c r="I26" i="28"/>
  <c r="H26" i="28"/>
  <c r="G26" i="28"/>
  <c r="H29" i="28"/>
  <c r="G29" i="28"/>
  <c r="I29" i="28"/>
  <c r="H25" i="28"/>
  <c r="G25" i="28"/>
  <c r="I25" i="28"/>
  <c r="I22" i="28"/>
  <c r="H22" i="28"/>
  <c r="G22" i="28"/>
  <c r="I18" i="28"/>
  <c r="H18" i="28"/>
  <c r="G18" i="28"/>
  <c r="I14" i="28"/>
  <c r="H14" i="28"/>
  <c r="G14" i="28"/>
  <c r="H13" i="28"/>
  <c r="G13" i="28"/>
  <c r="I13" i="28"/>
  <c r="H16" i="28"/>
  <c r="G16" i="28"/>
  <c r="I16" i="28"/>
  <c r="I23" i="28"/>
  <c r="H23" i="28"/>
  <c r="G23" i="28"/>
  <c r="H28" i="28"/>
  <c r="G28" i="28"/>
  <c r="I28" i="28"/>
  <c r="H24" i="28"/>
  <c r="G24" i="28"/>
  <c r="I24" i="28"/>
  <c r="H21" i="28"/>
  <c r="G21" i="28"/>
  <c r="I21" i="28"/>
  <c r="H17" i="28"/>
  <c r="G17" i="28"/>
  <c r="I17" i="28"/>
  <c r="L50" i="28"/>
  <c r="D10" i="67" s="1"/>
  <c r="M50" i="28"/>
  <c r="E10" i="67" s="1"/>
  <c r="N36" i="28"/>
  <c r="H35" i="49"/>
  <c r="G12" i="36"/>
  <c r="J12" i="36" s="1"/>
  <c r="G13" i="36"/>
  <c r="J13" i="36" s="1"/>
  <c r="G14" i="36"/>
  <c r="J14" i="36" s="1"/>
  <c r="G11" i="36"/>
  <c r="J11" i="36" s="1"/>
  <c r="H13" i="36"/>
  <c r="K13" i="36" s="1"/>
  <c r="H12" i="36"/>
  <c r="K12" i="36" s="1"/>
  <c r="I13" i="36"/>
  <c r="I12" i="36"/>
  <c r="H11" i="36"/>
  <c r="K11" i="36" s="1"/>
  <c r="H14" i="36"/>
  <c r="K14" i="36" s="1"/>
  <c r="I14" i="36"/>
  <c r="I11" i="36"/>
  <c r="D39" i="49"/>
  <c r="I39" i="49" s="1"/>
  <c r="F7" i="55"/>
  <c r="I7" i="55" s="1"/>
  <c r="F8" i="55"/>
  <c r="I8" i="55" s="1"/>
  <c r="F9" i="55"/>
  <c r="I9" i="55" s="1"/>
  <c r="F10" i="55"/>
  <c r="I10" i="55" s="1"/>
  <c r="F11" i="55"/>
  <c r="I11" i="55" s="1"/>
  <c r="F12" i="55"/>
  <c r="I12" i="55" s="1"/>
  <c r="F13" i="55"/>
  <c r="I13" i="55" s="1"/>
  <c r="F14" i="55"/>
  <c r="I14" i="55" s="1"/>
  <c r="F15" i="55"/>
  <c r="I15" i="55" s="1"/>
  <c r="F16" i="55"/>
  <c r="I16" i="55" s="1"/>
  <c r="F17" i="55"/>
  <c r="I17" i="55" s="1"/>
  <c r="F18" i="55"/>
  <c r="I18" i="55" s="1"/>
  <c r="F19" i="55"/>
  <c r="I19" i="55" s="1"/>
  <c r="F20" i="55"/>
  <c r="I20" i="55" s="1"/>
  <c r="F21" i="55"/>
  <c r="I21" i="55" s="1"/>
  <c r="F22" i="55"/>
  <c r="I22" i="55" s="1"/>
  <c r="F23" i="55"/>
  <c r="I23" i="55" s="1"/>
  <c r="F24" i="55"/>
  <c r="I24" i="55" s="1"/>
  <c r="F25" i="55"/>
  <c r="I25" i="55" s="1"/>
  <c r="F26" i="55"/>
  <c r="I26" i="55" s="1"/>
  <c r="F27" i="55"/>
  <c r="I27" i="55" s="1"/>
  <c r="F28" i="55"/>
  <c r="I28" i="55" s="1"/>
  <c r="F29" i="55"/>
  <c r="I29" i="55" s="1"/>
  <c r="F30" i="55"/>
  <c r="I30" i="55" s="1"/>
  <c r="F31" i="55"/>
  <c r="I31" i="55" s="1"/>
  <c r="F32" i="55"/>
  <c r="I32" i="55" s="1"/>
  <c r="F33" i="55"/>
  <c r="I33" i="55" s="1"/>
  <c r="F34" i="55"/>
  <c r="I34" i="55" s="1"/>
  <c r="F35" i="55"/>
  <c r="I35" i="55" s="1"/>
  <c r="F36" i="55"/>
  <c r="I36" i="55" s="1"/>
  <c r="F37" i="55"/>
  <c r="I37" i="55" s="1"/>
  <c r="F38" i="55"/>
  <c r="I38" i="55" s="1"/>
  <c r="F39" i="55"/>
  <c r="I39" i="55" s="1"/>
  <c r="F40" i="55"/>
  <c r="I40" i="55" s="1"/>
  <c r="F41" i="55"/>
  <c r="I41" i="55" s="1"/>
  <c r="F42" i="55"/>
  <c r="E7" i="55"/>
  <c r="H7" i="55" s="1"/>
  <c r="E8" i="55"/>
  <c r="H8" i="55" s="1"/>
  <c r="E9" i="55"/>
  <c r="H9" i="55" s="1"/>
  <c r="E10" i="55"/>
  <c r="H10" i="55" s="1"/>
  <c r="E11" i="55"/>
  <c r="H11" i="55" s="1"/>
  <c r="E12" i="55"/>
  <c r="H12" i="55" s="1"/>
  <c r="E13" i="55"/>
  <c r="H13" i="55" s="1"/>
  <c r="E14" i="55"/>
  <c r="H14" i="55" s="1"/>
  <c r="E15" i="55"/>
  <c r="H15" i="55" s="1"/>
  <c r="E16" i="55"/>
  <c r="H16" i="55" s="1"/>
  <c r="E17" i="55"/>
  <c r="H17" i="55" s="1"/>
  <c r="E18" i="55"/>
  <c r="H18" i="55" s="1"/>
  <c r="E19" i="55"/>
  <c r="H19" i="55" s="1"/>
  <c r="E20" i="55"/>
  <c r="H20" i="55" s="1"/>
  <c r="E21" i="55"/>
  <c r="H21" i="55" s="1"/>
  <c r="E22" i="55"/>
  <c r="H22" i="55" s="1"/>
  <c r="E23" i="55"/>
  <c r="H23" i="55" s="1"/>
  <c r="E24" i="55"/>
  <c r="H24" i="55" s="1"/>
  <c r="E25" i="55"/>
  <c r="H25" i="55" s="1"/>
  <c r="E26" i="55"/>
  <c r="H26" i="55" s="1"/>
  <c r="E27" i="55"/>
  <c r="H27" i="55" s="1"/>
  <c r="E28" i="55"/>
  <c r="H28" i="55" s="1"/>
  <c r="E29" i="55"/>
  <c r="H29" i="55" s="1"/>
  <c r="E30" i="55"/>
  <c r="H30" i="55" s="1"/>
  <c r="E31" i="55"/>
  <c r="H31" i="55" s="1"/>
  <c r="E32" i="55"/>
  <c r="H32" i="55" s="1"/>
  <c r="E33" i="55"/>
  <c r="H33" i="55" s="1"/>
  <c r="E34" i="55"/>
  <c r="H34" i="55" s="1"/>
  <c r="E35" i="55"/>
  <c r="H35" i="55" s="1"/>
  <c r="E36" i="55"/>
  <c r="H36" i="55" s="1"/>
  <c r="E37" i="55"/>
  <c r="H37" i="55" s="1"/>
  <c r="E38" i="55"/>
  <c r="H38" i="55" s="1"/>
  <c r="E39" i="55"/>
  <c r="H39" i="55" s="1"/>
  <c r="E40" i="55"/>
  <c r="H40" i="55" s="1"/>
  <c r="E41" i="55"/>
  <c r="H41" i="55" s="1"/>
  <c r="E42" i="55"/>
  <c r="H42" i="55" s="1"/>
  <c r="F6" i="55"/>
  <c r="I6" i="55" s="1"/>
  <c r="E6" i="55"/>
  <c r="H6" i="55" s="1"/>
  <c r="D6" i="55"/>
  <c r="G6" i="55" s="1"/>
  <c r="D7" i="55"/>
  <c r="G7" i="55" s="1"/>
  <c r="D8" i="55"/>
  <c r="G8" i="55" s="1"/>
  <c r="D9" i="55"/>
  <c r="G9" i="55" s="1"/>
  <c r="D10" i="55"/>
  <c r="G10" i="55" s="1"/>
  <c r="D11" i="55"/>
  <c r="G11" i="55" s="1"/>
  <c r="D12" i="55"/>
  <c r="G12" i="55" s="1"/>
  <c r="D13" i="55"/>
  <c r="G13" i="55" s="1"/>
  <c r="D14" i="55"/>
  <c r="G14" i="55" s="1"/>
  <c r="D15" i="55"/>
  <c r="G15" i="55" s="1"/>
  <c r="D16" i="55"/>
  <c r="G16" i="55" s="1"/>
  <c r="D17" i="55"/>
  <c r="G17" i="55" s="1"/>
  <c r="D18" i="55"/>
  <c r="G18" i="55" s="1"/>
  <c r="D19" i="55"/>
  <c r="G19" i="55" s="1"/>
  <c r="D20" i="55"/>
  <c r="G20" i="55" s="1"/>
  <c r="D21" i="55"/>
  <c r="G21" i="55" s="1"/>
  <c r="D22" i="55"/>
  <c r="G22" i="55" s="1"/>
  <c r="D23" i="55"/>
  <c r="G23" i="55" s="1"/>
  <c r="D24" i="55"/>
  <c r="G24" i="55" s="1"/>
  <c r="D25" i="55"/>
  <c r="G25" i="55" s="1"/>
  <c r="D26" i="55"/>
  <c r="G26" i="55" s="1"/>
  <c r="D27" i="55"/>
  <c r="G27" i="55" s="1"/>
  <c r="D28" i="55"/>
  <c r="G28" i="55" s="1"/>
  <c r="D29" i="55"/>
  <c r="G29" i="55" s="1"/>
  <c r="D30" i="55"/>
  <c r="G30" i="55" s="1"/>
  <c r="D31" i="55"/>
  <c r="G31" i="55" s="1"/>
  <c r="D32" i="55"/>
  <c r="G32" i="55" s="1"/>
  <c r="D33" i="55"/>
  <c r="G33" i="55" s="1"/>
  <c r="D34" i="55"/>
  <c r="G34" i="55" s="1"/>
  <c r="D35" i="55"/>
  <c r="G35" i="55" s="1"/>
  <c r="D36" i="55"/>
  <c r="G36" i="55" s="1"/>
  <c r="D37" i="55"/>
  <c r="G37" i="55" s="1"/>
  <c r="D38" i="55"/>
  <c r="G38" i="55" s="1"/>
  <c r="D39" i="55"/>
  <c r="G39" i="55" s="1"/>
  <c r="D40" i="55"/>
  <c r="G40" i="55" s="1"/>
  <c r="D41" i="55"/>
  <c r="G41" i="55" s="1"/>
  <c r="D42" i="55"/>
  <c r="G42" i="55" s="1"/>
  <c r="I42" i="55"/>
  <c r="J24" i="28" l="1"/>
  <c r="K24" i="28"/>
  <c r="L28" i="28"/>
  <c r="M15" i="28"/>
  <c r="J30" i="28"/>
  <c r="K30" i="28"/>
  <c r="M17" i="28"/>
  <c r="J17" i="28"/>
  <c r="K17" i="28"/>
  <c r="L16" i="28"/>
  <c r="J14" i="28"/>
  <c r="K14" i="28"/>
  <c r="L26" i="28"/>
  <c r="L20" i="28"/>
  <c r="J15" i="28"/>
  <c r="K15" i="28"/>
  <c r="J28" i="28"/>
  <c r="K28" i="28"/>
  <c r="M23" i="28"/>
  <c r="L14" i="28"/>
  <c r="J29" i="28"/>
  <c r="K29" i="28"/>
  <c r="J12" i="28"/>
  <c r="K12" i="28"/>
  <c r="M19" i="28"/>
  <c r="J27" i="28"/>
  <c r="K27" i="28"/>
  <c r="J13" i="28"/>
  <c r="K13" i="28"/>
  <c r="J22" i="28"/>
  <c r="K22" i="28"/>
  <c r="J25" i="28"/>
  <c r="K25" i="28"/>
  <c r="L29" i="28"/>
  <c r="J21" i="28"/>
  <c r="K21" i="28"/>
  <c r="J23" i="28"/>
  <c r="K23" i="28"/>
  <c r="J16" i="28"/>
  <c r="K16" i="28"/>
  <c r="L13" i="28"/>
  <c r="J18" i="28"/>
  <c r="K18" i="28"/>
  <c r="J26" i="28"/>
  <c r="K26" i="28"/>
  <c r="J20" i="28"/>
  <c r="K20" i="28"/>
  <c r="J19" i="28"/>
  <c r="K19" i="28"/>
  <c r="L30" i="28"/>
  <c r="L22" i="28"/>
  <c r="L18" i="28"/>
  <c r="M21" i="28"/>
  <c r="L25" i="28"/>
  <c r="L24" i="28"/>
  <c r="N50" i="28"/>
  <c r="O36" i="28"/>
  <c r="K50" i="28"/>
  <c r="C10" i="67" s="1"/>
  <c r="G39" i="49"/>
  <c r="L12" i="28"/>
  <c r="N15" i="28"/>
  <c r="N19" i="28"/>
  <c r="N23" i="28"/>
  <c r="M18" i="28"/>
  <c r="M22" i="28"/>
  <c r="N20" i="28"/>
  <c r="N13" i="28"/>
  <c r="N25" i="28"/>
  <c r="N27" i="28"/>
  <c r="N29" i="28"/>
  <c r="M16" i="28"/>
  <c r="M26" i="28"/>
  <c r="L15" i="28"/>
  <c r="N18" i="28"/>
  <c r="N26" i="28"/>
  <c r="M20" i="28"/>
  <c r="M24" i="28"/>
  <c r="L21" i="28"/>
  <c r="M12" i="28"/>
  <c r="N17" i="28"/>
  <c r="N21" i="28"/>
  <c r="M14" i="28"/>
  <c r="L27" i="28"/>
  <c r="N16" i="28"/>
  <c r="M13" i="28"/>
  <c r="M25" i="28"/>
  <c r="M27" i="28"/>
  <c r="M29" i="28"/>
  <c r="M30" i="28"/>
  <c r="L19" i="28"/>
  <c r="L23" i="28"/>
  <c r="N22" i="28"/>
  <c r="N30" i="28"/>
  <c r="N14" i="28"/>
  <c r="M28" i="28"/>
  <c r="N24" i="28"/>
  <c r="L17" i="28"/>
  <c r="N28" i="28"/>
  <c r="I43" i="55"/>
  <c r="H43" i="55"/>
  <c r="G43" i="55"/>
  <c r="A34" i="53"/>
  <c r="A35" i="53"/>
  <c r="A36" i="53"/>
  <c r="A37" i="53"/>
  <c r="A38" i="53"/>
  <c r="A39" i="53"/>
  <c r="A40" i="53"/>
  <c r="A41" i="53"/>
  <c r="A42" i="53"/>
  <c r="J33" i="53"/>
  <c r="M33" i="53" s="1"/>
  <c r="A12" i="53"/>
  <c r="A13" i="53"/>
  <c r="A14" i="53"/>
  <c r="A15" i="53"/>
  <c r="A16" i="53"/>
  <c r="A17" i="53"/>
  <c r="A18" i="53"/>
  <c r="A19" i="53"/>
  <c r="A20" i="53"/>
  <c r="A21" i="53"/>
  <c r="A22" i="53"/>
  <c r="A23" i="53"/>
  <c r="A24" i="53"/>
  <c r="A25" i="53"/>
  <c r="K78" i="6"/>
  <c r="H38" i="53" l="1"/>
  <c r="G38" i="53"/>
  <c r="I38" i="53"/>
  <c r="G37" i="53"/>
  <c r="H37" i="53"/>
  <c r="I37" i="53"/>
  <c r="G40" i="53"/>
  <c r="I40" i="53"/>
  <c r="H40" i="53"/>
  <c r="H42" i="53"/>
  <c r="I42" i="53"/>
  <c r="G42" i="53"/>
  <c r="G41" i="53"/>
  <c r="I41" i="53"/>
  <c r="H41" i="53"/>
  <c r="I39" i="53"/>
  <c r="G39" i="53"/>
  <c r="H39" i="53"/>
  <c r="H35" i="53"/>
  <c r="I35" i="53"/>
  <c r="G35" i="53"/>
  <c r="I36" i="53"/>
  <c r="G36" i="53"/>
  <c r="H36" i="53"/>
  <c r="G34" i="53"/>
  <c r="H34" i="53"/>
  <c r="I34" i="53"/>
  <c r="E8" i="67"/>
  <c r="J31" i="28"/>
  <c r="G21" i="53"/>
  <c r="I21" i="53"/>
  <c r="H21" i="53"/>
  <c r="G16" i="53"/>
  <c r="I16" i="53"/>
  <c r="H16" i="53"/>
  <c r="H13" i="53"/>
  <c r="G13" i="53"/>
  <c r="I13" i="53"/>
  <c r="I23" i="53"/>
  <c r="H23" i="53"/>
  <c r="G23" i="53"/>
  <c r="I15" i="53"/>
  <c r="H15" i="53"/>
  <c r="G15" i="53"/>
  <c r="G25" i="53"/>
  <c r="I25" i="53"/>
  <c r="H25" i="53"/>
  <c r="H17" i="53"/>
  <c r="G17" i="53"/>
  <c r="I17" i="53"/>
  <c r="I24" i="53"/>
  <c r="H24" i="53"/>
  <c r="G24" i="53"/>
  <c r="I19" i="53"/>
  <c r="G19" i="53"/>
  <c r="H19" i="53"/>
  <c r="H22" i="53"/>
  <c r="G22" i="53"/>
  <c r="I22" i="53"/>
  <c r="I18" i="53"/>
  <c r="H18" i="53"/>
  <c r="G18" i="53"/>
  <c r="I14" i="53"/>
  <c r="H14" i="53"/>
  <c r="G14" i="53"/>
  <c r="I20" i="53"/>
  <c r="G20" i="53"/>
  <c r="H20" i="53"/>
  <c r="G12" i="53"/>
  <c r="H12" i="53"/>
  <c r="I12" i="53"/>
  <c r="J38" i="53"/>
  <c r="M38" i="53" s="1"/>
  <c r="J40" i="53"/>
  <c r="M40" i="53" s="1"/>
  <c r="D8" i="67"/>
  <c r="C8" i="67"/>
  <c r="O50" i="28"/>
  <c r="N12" i="28"/>
  <c r="O28" i="28"/>
  <c r="O24" i="28"/>
  <c r="O14" i="28"/>
  <c r="O30" i="28"/>
  <c r="O22" i="28"/>
  <c r="O16" i="28"/>
  <c r="O21" i="28"/>
  <c r="O17" i="28"/>
  <c r="O26" i="28"/>
  <c r="O18" i="28"/>
  <c r="O29" i="28"/>
  <c r="O27" i="28"/>
  <c r="O25" i="28"/>
  <c r="O20" i="28"/>
  <c r="O23" i="28"/>
  <c r="O19" i="28"/>
  <c r="O15" i="28"/>
  <c r="K31" i="28"/>
  <c r="C9" i="67" s="1"/>
  <c r="O13" i="28"/>
  <c r="L31" i="28"/>
  <c r="D9" i="67" s="1"/>
  <c r="M31" i="28"/>
  <c r="E9" i="67" s="1"/>
  <c r="L61" i="6"/>
  <c r="L59" i="6"/>
  <c r="A65" i="27"/>
  <c r="A64" i="27"/>
  <c r="A63" i="27"/>
  <c r="A62" i="27"/>
  <c r="A61" i="27"/>
  <c r="A60" i="27"/>
  <c r="A59" i="27"/>
  <c r="A58" i="27"/>
  <c r="A57" i="27"/>
  <c r="A56" i="27"/>
  <c r="A55" i="27"/>
  <c r="A54" i="27"/>
  <c r="A53" i="27"/>
  <c r="A52" i="27"/>
  <c r="A51" i="27"/>
  <c r="A50" i="27"/>
  <c r="A49" i="27"/>
  <c r="A48" i="27"/>
  <c r="A47" i="27"/>
  <c r="A46" i="27"/>
  <c r="A45" i="27"/>
  <c r="J24" i="53" l="1"/>
  <c r="M24" i="53" s="1"/>
  <c r="L25" i="53"/>
  <c r="J42" i="53"/>
  <c r="M42" i="53" s="1"/>
  <c r="L23" i="53"/>
  <c r="J16" i="53"/>
  <c r="M16" i="53" s="1"/>
  <c r="J35" i="53"/>
  <c r="M35" i="53" s="1"/>
  <c r="L19" i="53"/>
  <c r="J14" i="53"/>
  <c r="M14" i="53" s="1"/>
  <c r="J18" i="53"/>
  <c r="M18" i="53" s="1"/>
  <c r="L17" i="53"/>
  <c r="L13" i="53"/>
  <c r="L15" i="53"/>
  <c r="J20" i="53"/>
  <c r="M20" i="53" s="1"/>
  <c r="L21" i="53"/>
  <c r="J41" i="53"/>
  <c r="M41" i="53" s="1"/>
  <c r="J36" i="53"/>
  <c r="M36" i="53" s="1"/>
  <c r="J37" i="53"/>
  <c r="M37" i="53" s="1"/>
  <c r="J39" i="53"/>
  <c r="M39" i="53" s="1"/>
  <c r="J46" i="27"/>
  <c r="I46" i="27"/>
  <c r="L46" i="27"/>
  <c r="K46" i="27"/>
  <c r="I50" i="27"/>
  <c r="J50" i="27"/>
  <c r="L50" i="27"/>
  <c r="K50" i="27"/>
  <c r="J54" i="27"/>
  <c r="I54" i="27"/>
  <c r="L54" i="27"/>
  <c r="K54" i="27"/>
  <c r="J58" i="27"/>
  <c r="I58" i="27"/>
  <c r="L58" i="27"/>
  <c r="K58" i="27"/>
  <c r="J62" i="27"/>
  <c r="I62" i="27"/>
  <c r="L62" i="27"/>
  <c r="K62" i="27"/>
  <c r="K47" i="27"/>
  <c r="J47" i="27"/>
  <c r="I47" i="27"/>
  <c r="L47" i="27"/>
  <c r="I51" i="27"/>
  <c r="K51" i="27"/>
  <c r="J51" i="27"/>
  <c r="L51" i="27"/>
  <c r="K55" i="27"/>
  <c r="J55" i="27"/>
  <c r="I55" i="27"/>
  <c r="L55" i="27"/>
  <c r="K59" i="27"/>
  <c r="J59" i="27"/>
  <c r="I59" i="27"/>
  <c r="L59" i="27"/>
  <c r="K63" i="27"/>
  <c r="J63" i="27"/>
  <c r="I63" i="27"/>
  <c r="L63" i="27"/>
  <c r="I48" i="27"/>
  <c r="L48" i="27"/>
  <c r="K48" i="27"/>
  <c r="J48" i="27"/>
  <c r="L52" i="27"/>
  <c r="K52" i="27"/>
  <c r="J52" i="27"/>
  <c r="I52" i="27"/>
  <c r="L56" i="27"/>
  <c r="K56" i="27"/>
  <c r="J56" i="27"/>
  <c r="I56" i="27"/>
  <c r="L60" i="27"/>
  <c r="K60" i="27"/>
  <c r="J60" i="27"/>
  <c r="I60" i="27"/>
  <c r="L64" i="27"/>
  <c r="K64" i="27"/>
  <c r="J64" i="27"/>
  <c r="I64" i="27"/>
  <c r="J45" i="27"/>
  <c r="I45" i="27"/>
  <c r="L45" i="27"/>
  <c r="K45" i="27"/>
  <c r="I49" i="27"/>
  <c r="L49" i="27"/>
  <c r="K49" i="27"/>
  <c r="J49" i="27"/>
  <c r="I53" i="27"/>
  <c r="L53" i="27"/>
  <c r="K53" i="27"/>
  <c r="J53" i="27"/>
  <c r="I57" i="27"/>
  <c r="L57" i="27"/>
  <c r="K57" i="27"/>
  <c r="J57" i="27"/>
  <c r="I61" i="27"/>
  <c r="L61" i="27"/>
  <c r="K61" i="27"/>
  <c r="J61" i="27"/>
  <c r="I65" i="27"/>
  <c r="L65" i="27"/>
  <c r="K65" i="27"/>
  <c r="J65" i="27"/>
  <c r="J34" i="53"/>
  <c r="M34" i="53" s="1"/>
  <c r="J22" i="53"/>
  <c r="M22" i="53" s="1"/>
  <c r="O12" i="28"/>
  <c r="J12" i="53"/>
  <c r="M12" i="53" s="1"/>
  <c r="J15" i="53"/>
  <c r="M15" i="53" s="1"/>
  <c r="K17" i="53"/>
  <c r="K25" i="53"/>
  <c r="L20" i="53"/>
  <c r="K14" i="53"/>
  <c r="K22" i="53"/>
  <c r="J17" i="53"/>
  <c r="M17" i="53" s="1"/>
  <c r="J25" i="53"/>
  <c r="M25" i="53" s="1"/>
  <c r="K19" i="53"/>
  <c r="K20" i="53"/>
  <c r="J23" i="53"/>
  <c r="M23" i="53" s="1"/>
  <c r="L22" i="53"/>
  <c r="K16" i="53"/>
  <c r="K24" i="53"/>
  <c r="J19" i="53"/>
  <c r="M19" i="53" s="1"/>
  <c r="K21" i="53"/>
  <c r="L16" i="53"/>
  <c r="L14" i="53"/>
  <c r="K18" i="53"/>
  <c r="J21" i="53"/>
  <c r="M21" i="53" s="1"/>
  <c r="K15" i="53"/>
  <c r="K23" i="53"/>
  <c r="L18" i="53"/>
  <c r="L24" i="53"/>
  <c r="K13" i="53"/>
  <c r="J13" i="53"/>
  <c r="M13" i="53" s="1"/>
  <c r="K11" i="53"/>
  <c r="L12" i="53"/>
  <c r="K12" i="53"/>
  <c r="N31" i="28"/>
  <c r="P15" i="28"/>
  <c r="P20" i="28"/>
  <c r="P27" i="28"/>
  <c r="P26" i="28"/>
  <c r="P17" i="28"/>
  <c r="P21" i="28"/>
  <c r="P30" i="28"/>
  <c r="P24" i="28"/>
  <c r="P19" i="28"/>
  <c r="P23" i="28"/>
  <c r="P25" i="28"/>
  <c r="P29" i="28"/>
  <c r="P18" i="28"/>
  <c r="P16" i="28"/>
  <c r="P22" i="28"/>
  <c r="P14" i="28"/>
  <c r="P28" i="28"/>
  <c r="K36" i="53"/>
  <c r="K39" i="53"/>
  <c r="L34" i="53"/>
  <c r="L41" i="53"/>
  <c r="K42" i="53"/>
  <c r="L33" i="53"/>
  <c r="L35" i="53"/>
  <c r="L38" i="53"/>
  <c r="L37" i="53"/>
  <c r="L40" i="53"/>
  <c r="K40" i="53"/>
  <c r="K34" i="53"/>
  <c r="K41" i="53"/>
  <c r="K33" i="53"/>
  <c r="L36" i="53"/>
  <c r="L39" i="53"/>
  <c r="K35" i="53"/>
  <c r="K38" i="53"/>
  <c r="L42" i="53"/>
  <c r="K37" i="53"/>
  <c r="P13" i="28"/>
  <c r="L11" i="53"/>
  <c r="R47" i="27" l="1"/>
  <c r="V47" i="27"/>
  <c r="X47" i="27"/>
  <c r="J43" i="53"/>
  <c r="C22" i="67" s="1"/>
  <c r="V45" i="27"/>
  <c r="X45" i="27" s="1"/>
  <c r="Z45" i="27" s="1"/>
  <c r="R45" i="27"/>
  <c r="P12" i="28"/>
  <c r="V46" i="27"/>
  <c r="X46" i="27" s="1"/>
  <c r="Z46" i="27" s="1"/>
  <c r="R46" i="27"/>
  <c r="S45" i="27"/>
  <c r="U45" i="27"/>
  <c r="U66" i="27" s="1"/>
  <c r="T45" i="27"/>
  <c r="O31" i="28"/>
  <c r="K26" i="53"/>
  <c r="D11" i="67" s="1"/>
  <c r="T31" i="27"/>
  <c r="J26" i="53"/>
  <c r="C11" i="67" s="1"/>
  <c r="U31" i="27"/>
  <c r="I66" i="27"/>
  <c r="K43" i="53"/>
  <c r="D22" i="67" s="1"/>
  <c r="L43" i="53"/>
  <c r="E22" i="67" s="1"/>
  <c r="L26" i="53"/>
  <c r="E11" i="67" s="1"/>
  <c r="Z47" i="27" l="1"/>
  <c r="M43" i="53"/>
  <c r="P31" i="28"/>
  <c r="R66" i="27"/>
  <c r="M26" i="53"/>
  <c r="T66" i="27"/>
  <c r="S66" i="27"/>
  <c r="V66" i="27"/>
  <c r="X66" i="27" l="1"/>
  <c r="Q19" i="1"/>
  <c r="O19" i="1"/>
  <c r="M19" i="1"/>
  <c r="AA13" i="51" l="1"/>
  <c r="Z66" i="27"/>
  <c r="T15" i="51" l="1"/>
  <c r="L15" i="51"/>
  <c r="AF15" i="51"/>
  <c r="T14" i="51"/>
  <c r="L14" i="51"/>
  <c r="T16" i="51"/>
  <c r="L16" i="51"/>
  <c r="F41" i="51"/>
  <c r="F29" i="51"/>
  <c r="F23" i="51"/>
  <c r="F17" i="51"/>
  <c r="N17" i="51" s="1"/>
  <c r="F40" i="51"/>
  <c r="F34" i="51"/>
  <c r="F28" i="51"/>
  <c r="F22" i="51"/>
  <c r="F16" i="51"/>
  <c r="F39" i="51"/>
  <c r="F27" i="51"/>
  <c r="F21" i="51"/>
  <c r="N21" i="51" s="1"/>
  <c r="F15" i="51"/>
  <c r="F35" i="51"/>
  <c r="F38" i="51"/>
  <c r="F32" i="51"/>
  <c r="F26" i="51"/>
  <c r="F20" i="51"/>
  <c r="F14" i="51"/>
  <c r="F44" i="51"/>
  <c r="F43" i="51"/>
  <c r="F37" i="51"/>
  <c r="F31" i="51"/>
  <c r="F25" i="51"/>
  <c r="F19" i="51"/>
  <c r="Q19" i="51" s="1"/>
  <c r="F33" i="51"/>
  <c r="F42" i="51"/>
  <c r="F36" i="51"/>
  <c r="F30" i="51"/>
  <c r="F24" i="51"/>
  <c r="F18" i="51"/>
  <c r="AD38" i="51"/>
  <c r="AD13" i="51"/>
  <c r="AG39" i="51"/>
  <c r="AF39" i="51"/>
  <c r="AG15" i="51"/>
  <c r="A36" i="27"/>
  <c r="I36" i="27" s="1"/>
  <c r="A37" i="27"/>
  <c r="I37" i="27" s="1"/>
  <c r="A38" i="27"/>
  <c r="I38" i="27" s="1"/>
  <c r="A39" i="27"/>
  <c r="I39" i="27" s="1"/>
  <c r="A40" i="27"/>
  <c r="I40" i="27" s="1"/>
  <c r="A41" i="27"/>
  <c r="I41" i="27" s="1"/>
  <c r="A35" i="27"/>
  <c r="I35" i="27" s="1"/>
  <c r="A11" i="27"/>
  <c r="J11" i="27" s="1"/>
  <c r="A12" i="27"/>
  <c r="J12" i="27" s="1"/>
  <c r="A13" i="27"/>
  <c r="J13" i="27" s="1"/>
  <c r="A14" i="27"/>
  <c r="J14" i="27" s="1"/>
  <c r="A15" i="27"/>
  <c r="A16" i="27"/>
  <c r="J16" i="27" s="1"/>
  <c r="A17" i="27"/>
  <c r="A18" i="27"/>
  <c r="A19" i="27"/>
  <c r="J19" i="27" s="1"/>
  <c r="A20" i="27"/>
  <c r="A21" i="27"/>
  <c r="A22" i="27"/>
  <c r="A23" i="27"/>
  <c r="A24" i="27"/>
  <c r="A25" i="27"/>
  <c r="A26" i="27"/>
  <c r="A27" i="27"/>
  <c r="A28" i="27"/>
  <c r="A29" i="27"/>
  <c r="A30" i="27"/>
  <c r="J30" i="27" s="1"/>
  <c r="A10" i="27"/>
  <c r="J10" i="27" s="1"/>
  <c r="S10" i="27" s="1"/>
  <c r="Y18" i="51" l="1"/>
  <c r="V18" i="51"/>
  <c r="Z18" i="51"/>
  <c r="W18" i="51" s="1"/>
  <c r="Z20" i="51"/>
  <c r="V20" i="51"/>
  <c r="Y20" i="51"/>
  <c r="W20" i="51" s="1"/>
  <c r="N20" i="51"/>
  <c r="Q14" i="51"/>
  <c r="N19" i="51"/>
  <c r="N15" i="51"/>
  <c r="N16" i="51"/>
  <c r="Z19" i="51"/>
  <c r="V19" i="51"/>
  <c r="Y19" i="51"/>
  <c r="V17" i="51"/>
  <c r="Y17" i="51"/>
  <c r="Z17" i="51"/>
  <c r="Z16" i="51"/>
  <c r="W16" i="51" s="1"/>
  <c r="V16" i="51"/>
  <c r="Y16" i="51"/>
  <c r="Z15" i="51"/>
  <c r="W15" i="51" s="1"/>
  <c r="Y15" i="51"/>
  <c r="V15" i="51"/>
  <c r="Z14" i="51"/>
  <c r="W14" i="51" s="1"/>
  <c r="Y14" i="51"/>
  <c r="V14" i="51"/>
  <c r="W13" i="51"/>
  <c r="Q15" i="51"/>
  <c r="N18" i="51"/>
  <c r="N14" i="51"/>
  <c r="O16" i="51"/>
  <c r="O17" i="51"/>
  <c r="O18" i="51"/>
  <c r="Q16" i="51"/>
  <c r="Q17" i="51"/>
  <c r="Q18" i="51"/>
  <c r="O32" i="51"/>
  <c r="O34" i="51"/>
  <c r="O44" i="51"/>
  <c r="O40" i="51"/>
  <c r="O24" i="51"/>
  <c r="O38" i="51"/>
  <c r="O14" i="51"/>
  <c r="O19" i="51"/>
  <c r="O23" i="51"/>
  <c r="O27" i="51"/>
  <c r="O31" i="51"/>
  <c r="O35" i="51"/>
  <c r="O39" i="51"/>
  <c r="O43" i="51"/>
  <c r="O25" i="51"/>
  <c r="O33" i="51"/>
  <c r="O41" i="51"/>
  <c r="O26" i="51"/>
  <c r="O42" i="51"/>
  <c r="O20" i="51"/>
  <c r="P28" i="51"/>
  <c r="O28" i="51"/>
  <c r="P30" i="51"/>
  <c r="O30" i="51"/>
  <c r="P15" i="51"/>
  <c r="O15" i="51"/>
  <c r="P36" i="51"/>
  <c r="O36" i="51"/>
  <c r="O21" i="51"/>
  <c r="O29" i="51"/>
  <c r="O37" i="51"/>
  <c r="O22" i="51"/>
  <c r="P32" i="51"/>
  <c r="P40" i="51"/>
  <c r="P34" i="51"/>
  <c r="P16" i="51"/>
  <c r="P24" i="51"/>
  <c r="P44" i="51"/>
  <c r="P38" i="51"/>
  <c r="P14" i="51"/>
  <c r="P19" i="51"/>
  <c r="P23" i="51"/>
  <c r="P27" i="51"/>
  <c r="P31" i="51"/>
  <c r="P35" i="51"/>
  <c r="P39" i="51"/>
  <c r="P43" i="51"/>
  <c r="P17" i="51"/>
  <c r="P25" i="51"/>
  <c r="P33" i="51"/>
  <c r="P41" i="51"/>
  <c r="P18" i="51"/>
  <c r="P26" i="51"/>
  <c r="P42" i="51"/>
  <c r="P20" i="51"/>
  <c r="P21" i="51"/>
  <c r="P29" i="51"/>
  <c r="P37" i="51"/>
  <c r="P22" i="51"/>
  <c r="AD36" i="51"/>
  <c r="AD28" i="51"/>
  <c r="AD30" i="51"/>
  <c r="V11" i="27"/>
  <c r="X11" i="27" s="1"/>
  <c r="Z11" i="27" s="1"/>
  <c r="R11" i="27"/>
  <c r="V10" i="27"/>
  <c r="X10" i="27" s="1"/>
  <c r="Z10" i="27" s="1"/>
  <c r="AF16" i="51"/>
  <c r="AF24" i="51"/>
  <c r="AG19" i="51"/>
  <c r="AG16" i="51"/>
  <c r="AG24" i="51"/>
  <c r="AF18" i="51"/>
  <c r="AG17" i="51"/>
  <c r="AG25" i="51"/>
  <c r="AG18" i="51"/>
  <c r="AF19" i="51"/>
  <c r="AF17" i="51"/>
  <c r="AF25" i="51"/>
  <c r="AD25" i="51"/>
  <c r="AD40" i="51"/>
  <c r="AB40" i="51"/>
  <c r="AC40" i="51" s="1"/>
  <c r="AD34" i="51"/>
  <c r="AB34" i="51"/>
  <c r="AC34" i="51" s="1"/>
  <c r="AB38" i="51"/>
  <c r="AC38" i="51" s="1"/>
  <c r="AD27" i="51"/>
  <c r="AB27" i="51"/>
  <c r="AD31" i="51"/>
  <c r="AB31" i="51"/>
  <c r="AC31" i="51" s="1"/>
  <c r="AD43" i="51"/>
  <c r="AB43" i="51"/>
  <c r="AC43" i="51" s="1"/>
  <c r="AD29" i="51"/>
  <c r="AB29" i="51"/>
  <c r="AC29" i="51" s="1"/>
  <c r="AD37" i="51"/>
  <c r="AB37" i="51"/>
  <c r="AC37" i="51" s="1"/>
  <c r="AD22" i="51"/>
  <c r="AB22" i="51"/>
  <c r="AC22" i="51" s="1"/>
  <c r="AD32" i="51"/>
  <c r="AB32" i="51"/>
  <c r="AC32" i="51" s="1"/>
  <c r="AD24" i="51"/>
  <c r="AB24" i="51"/>
  <c r="AC24" i="51" s="1"/>
  <c r="AD44" i="51"/>
  <c r="AB44" i="51"/>
  <c r="AC44" i="51" s="1"/>
  <c r="AD23" i="51"/>
  <c r="AB23" i="51"/>
  <c r="AC23" i="51" s="1"/>
  <c r="AD35" i="51"/>
  <c r="AB35" i="51"/>
  <c r="AC35" i="51" s="1"/>
  <c r="AB39" i="51"/>
  <c r="AC39" i="51" s="1"/>
  <c r="AB25" i="51"/>
  <c r="AC25" i="51" s="1"/>
  <c r="AD33" i="51"/>
  <c r="AB33" i="51"/>
  <c r="AC33" i="51" s="1"/>
  <c r="AB41" i="51"/>
  <c r="AC41" i="51" s="1"/>
  <c r="AD17" i="51"/>
  <c r="AD41" i="51"/>
  <c r="AB36" i="51"/>
  <c r="AC36" i="51" s="1"/>
  <c r="AD26" i="51"/>
  <c r="AB26" i="51"/>
  <c r="AC26" i="51" s="1"/>
  <c r="AD42" i="51"/>
  <c r="AB42" i="51"/>
  <c r="AC42" i="51" s="1"/>
  <c r="AD20" i="51"/>
  <c r="AB28" i="51"/>
  <c r="AC28" i="51" s="1"/>
  <c r="AB30" i="51"/>
  <c r="AC30" i="51" s="1"/>
  <c r="AD21" i="51"/>
  <c r="AB21" i="51"/>
  <c r="AE21" i="51" s="1"/>
  <c r="AB20" i="51"/>
  <c r="AD15" i="51"/>
  <c r="AB15" i="51"/>
  <c r="AD16" i="51"/>
  <c r="AB16" i="51"/>
  <c r="AE16" i="51" s="1"/>
  <c r="AD19" i="51"/>
  <c r="AB19" i="51"/>
  <c r="AB17" i="51"/>
  <c r="AE17" i="51" s="1"/>
  <c r="AD18" i="51"/>
  <c r="AB18" i="51"/>
  <c r="AE18" i="51" s="1"/>
  <c r="AB14" i="51"/>
  <c r="AC14" i="51" s="1"/>
  <c r="S14" i="27"/>
  <c r="S16" i="27"/>
  <c r="S12" i="27"/>
  <c r="S30" i="27"/>
  <c r="S13" i="27"/>
  <c r="S19" i="27"/>
  <c r="S11" i="27"/>
  <c r="J27" i="27"/>
  <c r="J23" i="27"/>
  <c r="J15" i="27"/>
  <c r="J26" i="27"/>
  <c r="J22" i="27"/>
  <c r="J18" i="27"/>
  <c r="J29" i="27"/>
  <c r="J25" i="27"/>
  <c r="J21" i="27"/>
  <c r="J17" i="27"/>
  <c r="J28" i="27"/>
  <c r="J24" i="27"/>
  <c r="J20" i="27"/>
  <c r="F10" i="51"/>
  <c r="AA43" i="51"/>
  <c r="W43" i="51"/>
  <c r="AA42" i="51"/>
  <c r="W42" i="51"/>
  <c r="AA44" i="51"/>
  <c r="W44" i="51"/>
  <c r="AA41" i="51"/>
  <c r="W41" i="51"/>
  <c r="AA40" i="51"/>
  <c r="W40" i="51"/>
  <c r="W39" i="51"/>
  <c r="AA39" i="51"/>
  <c r="AA38" i="51"/>
  <c r="W38" i="51"/>
  <c r="AA37" i="51"/>
  <c r="W37" i="51"/>
  <c r="AA36" i="51"/>
  <c r="W36" i="51"/>
  <c r="AA35" i="51"/>
  <c r="W35" i="51"/>
  <c r="AA34" i="51"/>
  <c r="W34" i="51"/>
  <c r="AA33" i="51"/>
  <c r="W33" i="51"/>
  <c r="AA32" i="51"/>
  <c r="W32" i="51"/>
  <c r="AA27" i="51"/>
  <c r="W27" i="51"/>
  <c r="AA29" i="51"/>
  <c r="W29" i="51"/>
  <c r="AA31" i="51"/>
  <c r="W31" i="51"/>
  <c r="AA28" i="51"/>
  <c r="W28" i="51"/>
  <c r="AA30" i="51"/>
  <c r="W30" i="51"/>
  <c r="AA24" i="51"/>
  <c r="W24" i="51"/>
  <c r="AA26" i="51"/>
  <c r="W26" i="51"/>
  <c r="AA23" i="51"/>
  <c r="W23" i="51"/>
  <c r="AA25" i="51"/>
  <c r="W25" i="51"/>
  <c r="AA22" i="51"/>
  <c r="W22" i="51"/>
  <c r="AA21" i="51"/>
  <c r="W21" i="51"/>
  <c r="AA20" i="51"/>
  <c r="AA19" i="51"/>
  <c r="AA18" i="51"/>
  <c r="AA17" i="51"/>
  <c r="AA16" i="51"/>
  <c r="AA15" i="51"/>
  <c r="AA14" i="51"/>
  <c r="AD14" i="51"/>
  <c r="AD39" i="51"/>
  <c r="AF14" i="51"/>
  <c r="AF13" i="51"/>
  <c r="U45" i="51"/>
  <c r="W17" i="51" l="1"/>
  <c r="AC20" i="51"/>
  <c r="AE20" i="51"/>
  <c r="W19" i="51"/>
  <c r="AC15" i="51"/>
  <c r="AE15" i="51"/>
  <c r="N45" i="51"/>
  <c r="Q45" i="51"/>
  <c r="U13" i="67" s="1"/>
  <c r="O45" i="51"/>
  <c r="P45" i="51"/>
  <c r="AE14" i="51"/>
  <c r="AC18" i="51"/>
  <c r="AC17" i="51"/>
  <c r="AC16" i="51"/>
  <c r="AC19" i="51"/>
  <c r="AE19" i="51"/>
  <c r="AC21" i="51"/>
  <c r="AC27" i="51"/>
  <c r="AE25" i="51"/>
  <c r="AE24" i="51"/>
  <c r="S21" i="27"/>
  <c r="S27" i="27"/>
  <c r="S24" i="27"/>
  <c r="S26" i="27"/>
  <c r="S28" i="27"/>
  <c r="S29" i="27"/>
  <c r="S15" i="27"/>
  <c r="S20" i="27"/>
  <c r="S22" i="27"/>
  <c r="S25" i="27"/>
  <c r="S17" i="27"/>
  <c r="S18" i="27"/>
  <c r="S23" i="27"/>
  <c r="P66" i="27"/>
  <c r="X18" i="51"/>
  <c r="I42" i="27"/>
  <c r="AF45" i="51"/>
  <c r="G32" i="49"/>
  <c r="G33" i="49"/>
  <c r="G34" i="49"/>
  <c r="M45" i="51" l="1"/>
  <c r="U11" i="67"/>
  <c r="U12" i="67"/>
  <c r="AE45" i="51"/>
  <c r="S31" i="27"/>
  <c r="V31" i="27"/>
  <c r="I67" i="27"/>
  <c r="C15" i="67" s="1"/>
  <c r="R42" i="27"/>
  <c r="G35" i="49"/>
  <c r="T42" i="27"/>
  <c r="S42" i="27"/>
  <c r="U42" i="27"/>
  <c r="U67" i="27" s="1"/>
  <c r="E21" i="67" s="1"/>
  <c r="V42" i="27"/>
  <c r="U22" i="67" l="1"/>
  <c r="X31" i="27"/>
  <c r="T67" i="27"/>
  <c r="D21" i="67" s="1"/>
  <c r="V67" i="27"/>
  <c r="M14" i="67" s="1"/>
  <c r="S67" i="27"/>
  <c r="C21" i="67" s="1"/>
  <c r="R31" i="27"/>
  <c r="X42" i="27"/>
  <c r="U23" i="67" l="1"/>
  <c r="R67" i="27"/>
  <c r="X67" i="27"/>
  <c r="Z31" i="27"/>
  <c r="Z42" i="27"/>
  <c r="U14" i="67" l="1"/>
  <c r="M15" i="67"/>
  <c r="Z67" i="27"/>
  <c r="Q66" i="27" l="1"/>
  <c r="X41" i="51"/>
  <c r="X37" i="51"/>
  <c r="X33" i="51"/>
  <c r="X29" i="51"/>
  <c r="X25" i="51"/>
  <c r="X43" i="51"/>
  <c r="X39" i="51"/>
  <c r="X35" i="51"/>
  <c r="X31" i="51"/>
  <c r="X27" i="51"/>
  <c r="X23" i="51"/>
  <c r="X21" i="51"/>
  <c r="X19" i="51"/>
  <c r="X17" i="51"/>
  <c r="X15" i="51"/>
  <c r="X44" i="51"/>
  <c r="X42" i="51"/>
  <c r="X40" i="51"/>
  <c r="X38" i="51"/>
  <c r="X36" i="51"/>
  <c r="X34" i="51"/>
  <c r="X32" i="51"/>
  <c r="X30" i="51"/>
  <c r="X26" i="51"/>
  <c r="X24" i="51"/>
  <c r="X22" i="51"/>
  <c r="X20" i="51"/>
  <c r="X16" i="51"/>
  <c r="X28" i="51"/>
  <c r="T45" i="51"/>
  <c r="T49" i="51" s="1"/>
  <c r="S45" i="51"/>
  <c r="R45" i="51"/>
  <c r="R49" i="51" l="1"/>
  <c r="M18" i="67" s="1"/>
  <c r="S49" i="51"/>
  <c r="P67" i="27"/>
  <c r="R46" i="51" s="1"/>
  <c r="AC45" i="51"/>
  <c r="M16" i="67" s="1"/>
  <c r="AD45" i="51"/>
  <c r="F61" i="49"/>
  <c r="E61" i="49"/>
  <c r="D61" i="49"/>
  <c r="F60" i="49"/>
  <c r="E60" i="49"/>
  <c r="D60" i="49"/>
  <c r="F59" i="49"/>
  <c r="E59" i="49"/>
  <c r="D59" i="49"/>
  <c r="F58" i="49"/>
  <c r="E58" i="49"/>
  <c r="D58" i="49"/>
  <c r="F57" i="49"/>
  <c r="E57" i="49"/>
  <c r="D57" i="49"/>
  <c r="F56" i="49"/>
  <c r="E56" i="49"/>
  <c r="J56" i="49" s="1"/>
  <c r="D56" i="49"/>
  <c r="F55" i="49"/>
  <c r="E55" i="49"/>
  <c r="D55" i="49"/>
  <c r="F54" i="49"/>
  <c r="E54" i="49"/>
  <c r="D54" i="49"/>
  <c r="F53" i="49"/>
  <c r="E53" i="49"/>
  <c r="D53" i="49"/>
  <c r="F52" i="49"/>
  <c r="E52" i="49"/>
  <c r="D52" i="49"/>
  <c r="F51" i="49"/>
  <c r="E51" i="49"/>
  <c r="D51" i="49"/>
  <c r="F50" i="49"/>
  <c r="E50" i="49"/>
  <c r="D50" i="49"/>
  <c r="F49" i="49"/>
  <c r="E49" i="49"/>
  <c r="D49" i="49"/>
  <c r="F48" i="49"/>
  <c r="E48" i="49"/>
  <c r="D48" i="49"/>
  <c r="F47" i="49"/>
  <c r="E47" i="49"/>
  <c r="D47" i="49"/>
  <c r="F46" i="49"/>
  <c r="E46" i="49"/>
  <c r="D46" i="49"/>
  <c r="F45" i="49"/>
  <c r="E45" i="49"/>
  <c r="D45" i="49"/>
  <c r="F44" i="49"/>
  <c r="E44" i="49"/>
  <c r="D44" i="49"/>
  <c r="F43" i="49"/>
  <c r="E43" i="49"/>
  <c r="D43" i="49"/>
  <c r="F42" i="49"/>
  <c r="E42" i="49"/>
  <c r="D42" i="49"/>
  <c r="F41" i="49"/>
  <c r="E41" i="49"/>
  <c r="D41" i="49"/>
  <c r="F40" i="49"/>
  <c r="E40" i="49"/>
  <c r="D40" i="49"/>
  <c r="F39" i="49"/>
  <c r="E39" i="49"/>
  <c r="M19" i="67" l="1"/>
  <c r="R47" i="51"/>
  <c r="R48" i="51" s="1"/>
  <c r="J39" i="49"/>
  <c r="J40" i="49"/>
  <c r="J41" i="49"/>
  <c r="J42" i="49"/>
  <c r="J43" i="49"/>
  <c r="J44" i="49"/>
  <c r="J45" i="49"/>
  <c r="J46" i="49"/>
  <c r="J47" i="49"/>
  <c r="J48" i="49"/>
  <c r="J49" i="49"/>
  <c r="J50" i="49"/>
  <c r="J51" i="49"/>
  <c r="J52" i="49"/>
  <c r="J53" i="49"/>
  <c r="J54" i="49"/>
  <c r="J55" i="49"/>
  <c r="J57" i="49"/>
  <c r="J58" i="49"/>
  <c r="J59" i="49"/>
  <c r="J60" i="49"/>
  <c r="J61" i="49"/>
  <c r="K39" i="49"/>
  <c r="G40" i="49"/>
  <c r="I40" i="49"/>
  <c r="K40" i="49"/>
  <c r="I41" i="49"/>
  <c r="G41" i="49"/>
  <c r="K41" i="49"/>
  <c r="G42" i="49"/>
  <c r="I42" i="49"/>
  <c r="K42" i="49"/>
  <c r="I43" i="49"/>
  <c r="G43" i="49"/>
  <c r="K43" i="49"/>
  <c r="G44" i="49"/>
  <c r="I44" i="49"/>
  <c r="K44" i="49"/>
  <c r="I45" i="49"/>
  <c r="G45" i="49"/>
  <c r="K45" i="49"/>
  <c r="G46" i="49"/>
  <c r="I46" i="49"/>
  <c r="K46" i="49"/>
  <c r="I47" i="49"/>
  <c r="G47" i="49"/>
  <c r="K47" i="49"/>
  <c r="G48" i="49"/>
  <c r="I48" i="49"/>
  <c r="K48" i="49"/>
  <c r="I49" i="49"/>
  <c r="G49" i="49"/>
  <c r="K49" i="49"/>
  <c r="G50" i="49"/>
  <c r="I50" i="49"/>
  <c r="K50" i="49"/>
  <c r="I51" i="49"/>
  <c r="G51" i="49"/>
  <c r="K51" i="49"/>
  <c r="G52" i="49"/>
  <c r="I52" i="49"/>
  <c r="K52" i="49"/>
  <c r="I53" i="49"/>
  <c r="G53" i="49"/>
  <c r="K53" i="49"/>
  <c r="I54" i="49"/>
  <c r="G54" i="49"/>
  <c r="K54" i="49"/>
  <c r="I55" i="49"/>
  <c r="G55" i="49"/>
  <c r="K55" i="49"/>
  <c r="I56" i="49"/>
  <c r="G56" i="49"/>
  <c r="K56" i="49"/>
  <c r="G57" i="49"/>
  <c r="I57" i="49"/>
  <c r="K57" i="49"/>
  <c r="I58" i="49"/>
  <c r="G58" i="49"/>
  <c r="K58" i="49"/>
  <c r="I59" i="49"/>
  <c r="G59" i="49"/>
  <c r="K59" i="49"/>
  <c r="I60" i="49"/>
  <c r="G60" i="49"/>
  <c r="K60" i="49"/>
  <c r="G61" i="49"/>
  <c r="I61" i="49"/>
  <c r="K61" i="49"/>
  <c r="F8" i="49"/>
  <c r="F9" i="49"/>
  <c r="F10" i="49"/>
  <c r="F11" i="49"/>
  <c r="F12" i="49"/>
  <c r="F13" i="49"/>
  <c r="F14" i="49"/>
  <c r="F15" i="49"/>
  <c r="F16" i="49"/>
  <c r="F17" i="49"/>
  <c r="F18" i="49"/>
  <c r="F19" i="49"/>
  <c r="F20" i="49"/>
  <c r="F21" i="49"/>
  <c r="F22" i="49"/>
  <c r="F23" i="49"/>
  <c r="F24" i="49"/>
  <c r="F25" i="49"/>
  <c r="F26" i="49"/>
  <c r="F7" i="49"/>
  <c r="E8" i="49"/>
  <c r="E9" i="49"/>
  <c r="E10" i="49"/>
  <c r="E11" i="49"/>
  <c r="E12" i="49"/>
  <c r="E13" i="49"/>
  <c r="E14" i="49"/>
  <c r="E15" i="49"/>
  <c r="E16" i="49"/>
  <c r="E17" i="49"/>
  <c r="E18" i="49"/>
  <c r="E19" i="49"/>
  <c r="E20" i="49"/>
  <c r="E21" i="49"/>
  <c r="E22" i="49"/>
  <c r="E23" i="49"/>
  <c r="E24" i="49"/>
  <c r="E25" i="49"/>
  <c r="E26" i="49"/>
  <c r="E7" i="49"/>
  <c r="D7" i="49"/>
  <c r="I7" i="49" s="1"/>
  <c r="D8" i="49"/>
  <c r="D9" i="49"/>
  <c r="D10" i="49"/>
  <c r="D11" i="49"/>
  <c r="D12" i="49"/>
  <c r="D13" i="49"/>
  <c r="D14" i="49"/>
  <c r="D15" i="49"/>
  <c r="D16" i="49"/>
  <c r="D17" i="49"/>
  <c r="D18" i="49"/>
  <c r="D19" i="49"/>
  <c r="D20" i="49"/>
  <c r="D21" i="49"/>
  <c r="D22" i="49"/>
  <c r="D23" i="49"/>
  <c r="D24" i="49"/>
  <c r="D25" i="49"/>
  <c r="D26" i="49"/>
  <c r="K74" i="37"/>
  <c r="K75" i="37"/>
  <c r="K76" i="37"/>
  <c r="K77" i="37"/>
  <c r="K78" i="37"/>
  <c r="K79" i="37"/>
  <c r="K80" i="37"/>
  <c r="K81" i="37"/>
  <c r="K82" i="37"/>
  <c r="K83" i="37"/>
  <c r="K84" i="37"/>
  <c r="K85" i="37"/>
  <c r="K86" i="37"/>
  <c r="K87" i="37"/>
  <c r="K88" i="37"/>
  <c r="K89" i="37"/>
  <c r="K90" i="37"/>
  <c r="K91" i="37"/>
  <c r="K92" i="37"/>
  <c r="K93" i="37"/>
  <c r="K94" i="37"/>
  <c r="K95" i="37"/>
  <c r="K96" i="37"/>
  <c r="K97" i="37"/>
  <c r="K98" i="37"/>
  <c r="K99" i="37"/>
  <c r="K100" i="37"/>
  <c r="K101" i="37"/>
  <c r="K102" i="37"/>
  <c r="K103" i="37"/>
  <c r="K104" i="37"/>
  <c r="K105" i="37"/>
  <c r="K106" i="37"/>
  <c r="K107" i="37"/>
  <c r="K108" i="37"/>
  <c r="K109" i="37"/>
  <c r="K110" i="37"/>
  <c r="K111" i="37"/>
  <c r="K112" i="37"/>
  <c r="K113" i="37"/>
  <c r="J74" i="37"/>
  <c r="J75" i="37"/>
  <c r="J76" i="37"/>
  <c r="J77" i="37"/>
  <c r="J78" i="37"/>
  <c r="J80" i="37"/>
  <c r="J81" i="37"/>
  <c r="J82" i="37"/>
  <c r="J83" i="37"/>
  <c r="J84" i="37"/>
  <c r="J85" i="37"/>
  <c r="J86" i="37"/>
  <c r="J87" i="37"/>
  <c r="J88" i="37"/>
  <c r="J89" i="37"/>
  <c r="J90" i="37"/>
  <c r="J91" i="37"/>
  <c r="J92" i="37"/>
  <c r="J93" i="37"/>
  <c r="J94" i="37"/>
  <c r="J95" i="37"/>
  <c r="J96" i="37"/>
  <c r="J97" i="37"/>
  <c r="J98" i="37"/>
  <c r="J99" i="37"/>
  <c r="J100" i="37"/>
  <c r="J101" i="37"/>
  <c r="J102" i="37"/>
  <c r="J103" i="37"/>
  <c r="J104" i="37"/>
  <c r="J105" i="37"/>
  <c r="J106" i="37"/>
  <c r="J107" i="37"/>
  <c r="J108" i="37"/>
  <c r="J109" i="37"/>
  <c r="J110" i="37"/>
  <c r="J111" i="37"/>
  <c r="J112" i="37"/>
  <c r="J113" i="37"/>
  <c r="I74" i="37"/>
  <c r="I75" i="37"/>
  <c r="I76" i="37"/>
  <c r="I77" i="37"/>
  <c r="I78" i="37"/>
  <c r="I79" i="37"/>
  <c r="I80" i="37"/>
  <c r="I81" i="37"/>
  <c r="I82" i="37"/>
  <c r="I83" i="37"/>
  <c r="I84" i="37"/>
  <c r="I85" i="37"/>
  <c r="I86" i="37"/>
  <c r="I87" i="37"/>
  <c r="I88" i="37"/>
  <c r="I89" i="37"/>
  <c r="I90" i="37"/>
  <c r="I91" i="37"/>
  <c r="I92" i="37"/>
  <c r="I93" i="37"/>
  <c r="I94" i="37"/>
  <c r="I95" i="37"/>
  <c r="I96" i="37"/>
  <c r="I97" i="37"/>
  <c r="I98" i="37"/>
  <c r="I99" i="37"/>
  <c r="I100" i="37"/>
  <c r="I101" i="37"/>
  <c r="I102" i="37"/>
  <c r="I103" i="37"/>
  <c r="I104" i="37"/>
  <c r="I105" i="37"/>
  <c r="I106" i="37"/>
  <c r="I107" i="37"/>
  <c r="I108" i="37"/>
  <c r="I109" i="37"/>
  <c r="I110" i="37"/>
  <c r="I111" i="37"/>
  <c r="I112" i="37"/>
  <c r="I113" i="37"/>
  <c r="E73" i="37"/>
  <c r="K73" i="37" s="1"/>
  <c r="E74" i="37"/>
  <c r="E75" i="37"/>
  <c r="E76" i="37"/>
  <c r="E77" i="37"/>
  <c r="E78" i="37"/>
  <c r="E79" i="37"/>
  <c r="E80" i="37"/>
  <c r="E81" i="37"/>
  <c r="E82" i="37"/>
  <c r="E83" i="37"/>
  <c r="E84" i="37"/>
  <c r="E85" i="37"/>
  <c r="E86" i="37"/>
  <c r="E87" i="37"/>
  <c r="E88" i="37"/>
  <c r="E89" i="37"/>
  <c r="E90" i="37"/>
  <c r="E91" i="37"/>
  <c r="E92" i="37"/>
  <c r="E93" i="37"/>
  <c r="E94" i="37"/>
  <c r="E95" i="37"/>
  <c r="E96" i="37"/>
  <c r="E97" i="37"/>
  <c r="E98" i="37"/>
  <c r="E99" i="37"/>
  <c r="E100" i="37"/>
  <c r="E101" i="37"/>
  <c r="E102" i="37"/>
  <c r="E103" i="37"/>
  <c r="E104" i="37"/>
  <c r="E105" i="37"/>
  <c r="E106" i="37"/>
  <c r="E107" i="37"/>
  <c r="E108" i="37"/>
  <c r="E109" i="37"/>
  <c r="E110" i="37"/>
  <c r="E111" i="37"/>
  <c r="E112" i="37"/>
  <c r="E113" i="37"/>
  <c r="E72" i="37"/>
  <c r="H73" i="37"/>
  <c r="H74" i="37"/>
  <c r="H75" i="37"/>
  <c r="H76" i="37"/>
  <c r="H77" i="37"/>
  <c r="H78" i="37"/>
  <c r="H79" i="37"/>
  <c r="H80" i="37"/>
  <c r="H81" i="37"/>
  <c r="H82" i="37"/>
  <c r="H83" i="37"/>
  <c r="H84" i="37"/>
  <c r="H85" i="37"/>
  <c r="H86" i="37"/>
  <c r="H87" i="37"/>
  <c r="H88" i="37"/>
  <c r="H89" i="37"/>
  <c r="H90" i="37"/>
  <c r="H91" i="37"/>
  <c r="H92" i="37"/>
  <c r="H93" i="37"/>
  <c r="H94" i="37"/>
  <c r="H95" i="37"/>
  <c r="H96" i="37"/>
  <c r="H97" i="37"/>
  <c r="H98" i="37"/>
  <c r="H99" i="37"/>
  <c r="H100" i="37"/>
  <c r="H101" i="37"/>
  <c r="H102" i="37"/>
  <c r="H103" i="37"/>
  <c r="H104" i="37"/>
  <c r="H105" i="37"/>
  <c r="H106" i="37"/>
  <c r="H107" i="37"/>
  <c r="H108" i="37"/>
  <c r="H109" i="37"/>
  <c r="H110" i="37"/>
  <c r="H111" i="37"/>
  <c r="H112" i="37"/>
  <c r="H113" i="37"/>
  <c r="G73" i="37"/>
  <c r="J73" i="37" s="1"/>
  <c r="G74" i="37"/>
  <c r="G75" i="37"/>
  <c r="G76" i="37"/>
  <c r="G77" i="37"/>
  <c r="G78" i="37"/>
  <c r="G79" i="37"/>
  <c r="J79" i="37" s="1"/>
  <c r="G80" i="37"/>
  <c r="G81" i="37"/>
  <c r="G82" i="37"/>
  <c r="G83" i="37"/>
  <c r="G84" i="37"/>
  <c r="G85" i="37"/>
  <c r="G86" i="37"/>
  <c r="G87" i="37"/>
  <c r="G88" i="37"/>
  <c r="G89" i="37"/>
  <c r="G90" i="37"/>
  <c r="G91" i="37"/>
  <c r="G92" i="37"/>
  <c r="G93" i="37"/>
  <c r="G94" i="37"/>
  <c r="G95" i="37"/>
  <c r="G96" i="37"/>
  <c r="G97" i="37"/>
  <c r="G98" i="37"/>
  <c r="G99" i="37"/>
  <c r="G100" i="37"/>
  <c r="G101" i="37"/>
  <c r="G102" i="37"/>
  <c r="G103" i="37"/>
  <c r="G104" i="37"/>
  <c r="G105" i="37"/>
  <c r="G106" i="37"/>
  <c r="G107" i="37"/>
  <c r="G108" i="37"/>
  <c r="G109" i="37"/>
  <c r="G110" i="37"/>
  <c r="G111" i="37"/>
  <c r="G112" i="37"/>
  <c r="G113" i="37"/>
  <c r="H72" i="37"/>
  <c r="G72" i="37"/>
  <c r="F73" i="37"/>
  <c r="F74" i="37"/>
  <c r="F75" i="37"/>
  <c r="F76" i="37"/>
  <c r="F77" i="37"/>
  <c r="F78" i="37"/>
  <c r="F79" i="37"/>
  <c r="F80" i="37"/>
  <c r="F81" i="37"/>
  <c r="F82" i="37"/>
  <c r="F83"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3" i="37"/>
  <c r="J63" i="37"/>
  <c r="H63" i="37"/>
  <c r="G63" i="37"/>
  <c r="K63" i="37"/>
  <c r="G64" i="37"/>
  <c r="H64" i="37"/>
  <c r="K64" i="37" s="1"/>
  <c r="J64" i="37"/>
  <c r="G66" i="37"/>
  <c r="H66" i="37"/>
  <c r="K66" i="37" s="1"/>
  <c r="J66" i="37"/>
  <c r="F63" i="37"/>
  <c r="I63" i="37" s="1"/>
  <c r="F64" i="37"/>
  <c r="I64" i="37" s="1"/>
  <c r="F66" i="37"/>
  <c r="I66" i="37" s="1"/>
  <c r="K42" i="37"/>
  <c r="K44" i="37"/>
  <c r="K46" i="37"/>
  <c r="K48" i="37"/>
  <c r="K50" i="37"/>
  <c r="K52" i="37"/>
  <c r="K54" i="37"/>
  <c r="K56" i="37"/>
  <c r="K58" i="37"/>
  <c r="K60" i="37"/>
  <c r="K62" i="37"/>
  <c r="I53" i="37"/>
  <c r="I57" i="37"/>
  <c r="I61" i="37"/>
  <c r="H41" i="37"/>
  <c r="K41" i="37" s="1"/>
  <c r="H42" i="37"/>
  <c r="H43" i="37"/>
  <c r="K43" i="37" s="1"/>
  <c r="H44" i="37"/>
  <c r="H45" i="37"/>
  <c r="K45" i="37" s="1"/>
  <c r="H46" i="37"/>
  <c r="H47" i="37"/>
  <c r="K47" i="37" s="1"/>
  <c r="H48" i="37"/>
  <c r="H49" i="37"/>
  <c r="K49" i="37" s="1"/>
  <c r="H50" i="37"/>
  <c r="H51" i="37"/>
  <c r="K51" i="37" s="1"/>
  <c r="H52" i="37"/>
  <c r="H53" i="37"/>
  <c r="K53" i="37" s="1"/>
  <c r="H54" i="37"/>
  <c r="H55" i="37"/>
  <c r="K55" i="37" s="1"/>
  <c r="H56" i="37"/>
  <c r="H57" i="37"/>
  <c r="K57" i="37" s="1"/>
  <c r="H58" i="37"/>
  <c r="H59" i="37"/>
  <c r="K59" i="37" s="1"/>
  <c r="H60" i="37"/>
  <c r="H61" i="37"/>
  <c r="K61" i="37" s="1"/>
  <c r="H62" i="37"/>
  <c r="H40" i="37"/>
  <c r="K40" i="37" s="1"/>
  <c r="G41" i="37"/>
  <c r="J41" i="37" s="1"/>
  <c r="G42" i="37"/>
  <c r="J42" i="37" s="1"/>
  <c r="G43" i="37"/>
  <c r="J43" i="37" s="1"/>
  <c r="G44" i="37"/>
  <c r="J44" i="37" s="1"/>
  <c r="G45" i="37"/>
  <c r="J45" i="37" s="1"/>
  <c r="G46" i="37"/>
  <c r="J46" i="37" s="1"/>
  <c r="G47" i="37"/>
  <c r="J47" i="37" s="1"/>
  <c r="G48" i="37"/>
  <c r="J48" i="37" s="1"/>
  <c r="G49" i="37"/>
  <c r="J49" i="37" s="1"/>
  <c r="G50" i="37"/>
  <c r="J50" i="37" s="1"/>
  <c r="G51" i="37"/>
  <c r="J51" i="37" s="1"/>
  <c r="G52" i="37"/>
  <c r="J52" i="37" s="1"/>
  <c r="G53" i="37"/>
  <c r="J53" i="37" s="1"/>
  <c r="G54" i="37"/>
  <c r="J54" i="37" s="1"/>
  <c r="G55" i="37"/>
  <c r="J55" i="37" s="1"/>
  <c r="G56" i="37"/>
  <c r="J56" i="37" s="1"/>
  <c r="G57" i="37"/>
  <c r="J57" i="37" s="1"/>
  <c r="G58" i="37"/>
  <c r="J58" i="37" s="1"/>
  <c r="G59" i="37"/>
  <c r="J59" i="37" s="1"/>
  <c r="G60" i="37"/>
  <c r="J60" i="37" s="1"/>
  <c r="G61" i="37"/>
  <c r="J61" i="37" s="1"/>
  <c r="G62" i="37"/>
  <c r="J62" i="37" s="1"/>
  <c r="G40" i="37"/>
  <c r="J40" i="37" s="1"/>
  <c r="F41" i="37"/>
  <c r="I41" i="37" s="1"/>
  <c r="F42" i="37"/>
  <c r="I42" i="37" s="1"/>
  <c r="F43" i="37"/>
  <c r="I43" i="37" s="1"/>
  <c r="F44" i="37"/>
  <c r="I44" i="37" s="1"/>
  <c r="F45" i="37"/>
  <c r="I45" i="37" s="1"/>
  <c r="F46" i="37"/>
  <c r="I46" i="37" s="1"/>
  <c r="F47" i="37"/>
  <c r="I47" i="37" s="1"/>
  <c r="F48" i="37"/>
  <c r="I48" i="37" s="1"/>
  <c r="F49" i="37"/>
  <c r="I49" i="37" s="1"/>
  <c r="F50" i="37"/>
  <c r="I50" i="37" s="1"/>
  <c r="F51" i="37"/>
  <c r="I51" i="37" s="1"/>
  <c r="F52" i="37"/>
  <c r="I52" i="37" s="1"/>
  <c r="F53" i="37"/>
  <c r="F54" i="37"/>
  <c r="I54" i="37" s="1"/>
  <c r="F55" i="37"/>
  <c r="I55" i="37" s="1"/>
  <c r="F56" i="37"/>
  <c r="I56" i="37" s="1"/>
  <c r="F57" i="37"/>
  <c r="F58" i="37"/>
  <c r="I58" i="37" s="1"/>
  <c r="F59" i="37"/>
  <c r="I59" i="37" s="1"/>
  <c r="F60" i="37"/>
  <c r="I60" i="37" s="1"/>
  <c r="F61" i="37"/>
  <c r="F62" i="37"/>
  <c r="I62" i="37" s="1"/>
  <c r="F40" i="37"/>
  <c r="I40" i="37" s="1"/>
  <c r="H13" i="37"/>
  <c r="K13" i="37" s="1"/>
  <c r="H14" i="37"/>
  <c r="K14" i="37" s="1"/>
  <c r="H15" i="37"/>
  <c r="K15" i="37" s="1"/>
  <c r="H16" i="37"/>
  <c r="K16" i="37" s="1"/>
  <c r="H17" i="37"/>
  <c r="K17" i="37" s="1"/>
  <c r="H18" i="37"/>
  <c r="K18" i="37" s="1"/>
  <c r="H19" i="37"/>
  <c r="K19" i="37" s="1"/>
  <c r="G13" i="37"/>
  <c r="J13" i="37" s="1"/>
  <c r="G14" i="37"/>
  <c r="J14" i="37" s="1"/>
  <c r="G15" i="37"/>
  <c r="J15" i="37" s="1"/>
  <c r="G16" i="37"/>
  <c r="J16" i="37" s="1"/>
  <c r="G17" i="37"/>
  <c r="J17" i="37" s="1"/>
  <c r="G18" i="37"/>
  <c r="J18" i="37" s="1"/>
  <c r="G19" i="37"/>
  <c r="J19" i="37" s="1"/>
  <c r="F13" i="37"/>
  <c r="I13" i="37" s="1"/>
  <c r="F14" i="37"/>
  <c r="I14" i="37" s="1"/>
  <c r="F15" i="37"/>
  <c r="I15" i="37" s="1"/>
  <c r="F16" i="37"/>
  <c r="I16" i="37" s="1"/>
  <c r="F17" i="37"/>
  <c r="I17" i="37" s="1"/>
  <c r="F18" i="37"/>
  <c r="I18" i="37" s="1"/>
  <c r="F19" i="37"/>
  <c r="I19" i="37" s="1"/>
  <c r="G58" i="48"/>
  <c r="J58" i="48" s="1"/>
  <c r="G59" i="48"/>
  <c r="J59" i="48" s="1"/>
  <c r="G60" i="48"/>
  <c r="J60" i="48" s="1"/>
  <c r="F58" i="48"/>
  <c r="I58" i="48" s="1"/>
  <c r="F59" i="48"/>
  <c r="I59" i="48" s="1"/>
  <c r="F60" i="48"/>
  <c r="I60" i="48" s="1"/>
  <c r="G29" i="48"/>
  <c r="J29" i="48" s="1"/>
  <c r="G30" i="48"/>
  <c r="J30" i="48" s="1"/>
  <c r="G31" i="48"/>
  <c r="J31" i="48" s="1"/>
  <c r="G32" i="48"/>
  <c r="J32" i="48" s="1"/>
  <c r="G33" i="48"/>
  <c r="J33" i="48" s="1"/>
  <c r="G34" i="48"/>
  <c r="J34" i="48" s="1"/>
  <c r="G35" i="48"/>
  <c r="J35" i="48" s="1"/>
  <c r="G36" i="48"/>
  <c r="J36" i="48" s="1"/>
  <c r="G37" i="48"/>
  <c r="J37" i="48" s="1"/>
  <c r="G38" i="48"/>
  <c r="J38" i="48" s="1"/>
  <c r="G39" i="48"/>
  <c r="J39" i="48" s="1"/>
  <c r="G40" i="48"/>
  <c r="J40" i="48" s="1"/>
  <c r="G41" i="48"/>
  <c r="J41" i="48" s="1"/>
  <c r="G42" i="48"/>
  <c r="J42" i="48" s="1"/>
  <c r="G43" i="48"/>
  <c r="J43" i="48" s="1"/>
  <c r="G44" i="48"/>
  <c r="J44" i="48" s="1"/>
  <c r="G45" i="48"/>
  <c r="J45" i="48" s="1"/>
  <c r="G46" i="48"/>
  <c r="J46" i="48" s="1"/>
  <c r="G47" i="48"/>
  <c r="J47" i="48" s="1"/>
  <c r="G48" i="48"/>
  <c r="J48" i="48" s="1"/>
  <c r="G49" i="48"/>
  <c r="J49" i="48" s="1"/>
  <c r="G50" i="48"/>
  <c r="J50" i="48" s="1"/>
  <c r="G51" i="48"/>
  <c r="J51" i="48" s="1"/>
  <c r="G52" i="48"/>
  <c r="J52" i="48" s="1"/>
  <c r="G53" i="48"/>
  <c r="J53" i="48" s="1"/>
  <c r="G54" i="48"/>
  <c r="J54" i="48" s="1"/>
  <c r="G55" i="48"/>
  <c r="J55" i="48" s="1"/>
  <c r="G56" i="48"/>
  <c r="J56" i="48" s="1"/>
  <c r="G57" i="48"/>
  <c r="J57" i="48" s="1"/>
  <c r="F29" i="48"/>
  <c r="I29" i="48" s="1"/>
  <c r="F30" i="48"/>
  <c r="I30" i="48" s="1"/>
  <c r="F31" i="48"/>
  <c r="I31" i="48" s="1"/>
  <c r="F32" i="48"/>
  <c r="I32" i="48" s="1"/>
  <c r="F33" i="48"/>
  <c r="I33" i="48" s="1"/>
  <c r="F34" i="48"/>
  <c r="I34" i="48" s="1"/>
  <c r="F35" i="48"/>
  <c r="I35" i="48" s="1"/>
  <c r="F36" i="48"/>
  <c r="I36" i="48" s="1"/>
  <c r="F37" i="48"/>
  <c r="I37" i="48" s="1"/>
  <c r="F38" i="48"/>
  <c r="I38" i="48" s="1"/>
  <c r="F39" i="48"/>
  <c r="I39" i="48" s="1"/>
  <c r="F40" i="48"/>
  <c r="I40" i="48" s="1"/>
  <c r="F41" i="48"/>
  <c r="I41" i="48" s="1"/>
  <c r="F42" i="48"/>
  <c r="I42" i="48" s="1"/>
  <c r="F43" i="48"/>
  <c r="I43" i="48" s="1"/>
  <c r="F44" i="48"/>
  <c r="I44" i="48" s="1"/>
  <c r="F45" i="48"/>
  <c r="I45" i="48" s="1"/>
  <c r="F46" i="48"/>
  <c r="I46" i="48" s="1"/>
  <c r="F47" i="48"/>
  <c r="I47" i="48" s="1"/>
  <c r="F48" i="48"/>
  <c r="I48" i="48" s="1"/>
  <c r="F49" i="48"/>
  <c r="I49" i="48" s="1"/>
  <c r="F50" i="48"/>
  <c r="I50" i="48" s="1"/>
  <c r="F51" i="48"/>
  <c r="I51" i="48" s="1"/>
  <c r="F52" i="48"/>
  <c r="I52" i="48" s="1"/>
  <c r="F53" i="48"/>
  <c r="I53" i="48" s="1"/>
  <c r="F54" i="48"/>
  <c r="I54" i="48" s="1"/>
  <c r="F55" i="48"/>
  <c r="I55" i="48" s="1"/>
  <c r="F56" i="48"/>
  <c r="I56" i="48" s="1"/>
  <c r="F57" i="48"/>
  <c r="I57" i="48" s="1"/>
  <c r="G7" i="48"/>
  <c r="J7" i="48" s="1"/>
  <c r="G8" i="48"/>
  <c r="J8" i="48" s="1"/>
  <c r="G9" i="48"/>
  <c r="J9" i="48" s="1"/>
  <c r="G10" i="48"/>
  <c r="J10" i="48" s="1"/>
  <c r="G11" i="48"/>
  <c r="J11" i="48" s="1"/>
  <c r="G12" i="48"/>
  <c r="J12" i="48" s="1"/>
  <c r="G13" i="48"/>
  <c r="J13" i="48" s="1"/>
  <c r="G14" i="48"/>
  <c r="J14" i="48" s="1"/>
  <c r="G15" i="48"/>
  <c r="J15" i="48" s="1"/>
  <c r="G16" i="48"/>
  <c r="J16" i="48" s="1"/>
  <c r="G17" i="48"/>
  <c r="J17" i="48" s="1"/>
  <c r="G18" i="48"/>
  <c r="J18" i="48" s="1"/>
  <c r="G19" i="48"/>
  <c r="J19" i="48" s="1"/>
  <c r="G20" i="48"/>
  <c r="J20" i="48" s="1"/>
  <c r="G21" i="48"/>
  <c r="J21" i="48" s="1"/>
  <c r="G22" i="48"/>
  <c r="J22" i="48" s="1"/>
  <c r="G23" i="48"/>
  <c r="J23" i="48" s="1"/>
  <c r="G24" i="48"/>
  <c r="J24" i="48" s="1"/>
  <c r="G25" i="48"/>
  <c r="J25" i="48" s="1"/>
  <c r="G26" i="48"/>
  <c r="J26" i="48" s="1"/>
  <c r="G27" i="48"/>
  <c r="J27" i="48" s="1"/>
  <c r="G28" i="48"/>
  <c r="J28" i="48" s="1"/>
  <c r="G6" i="48"/>
  <c r="J6" i="48" s="1"/>
  <c r="F7" i="48"/>
  <c r="I7" i="48" s="1"/>
  <c r="F8" i="48"/>
  <c r="I8" i="48" s="1"/>
  <c r="F9" i="48"/>
  <c r="I9" i="48" s="1"/>
  <c r="F10" i="48"/>
  <c r="I10" i="48" s="1"/>
  <c r="F11" i="48"/>
  <c r="I11" i="48" s="1"/>
  <c r="F12" i="48"/>
  <c r="I12" i="48" s="1"/>
  <c r="F13" i="48"/>
  <c r="I13" i="48" s="1"/>
  <c r="F14" i="48"/>
  <c r="I14" i="48" s="1"/>
  <c r="F15" i="48"/>
  <c r="I15" i="48" s="1"/>
  <c r="F16" i="48"/>
  <c r="I16" i="48" s="1"/>
  <c r="F17" i="48"/>
  <c r="I17" i="48" s="1"/>
  <c r="F18" i="48"/>
  <c r="I18" i="48" s="1"/>
  <c r="F19" i="48"/>
  <c r="I19" i="48" s="1"/>
  <c r="F20" i="48"/>
  <c r="I20" i="48" s="1"/>
  <c r="F21" i="48"/>
  <c r="I21" i="48" s="1"/>
  <c r="F22" i="48"/>
  <c r="I22" i="48" s="1"/>
  <c r="F23" i="48"/>
  <c r="I23" i="48" s="1"/>
  <c r="F24" i="48"/>
  <c r="I24" i="48" s="1"/>
  <c r="F25" i="48"/>
  <c r="I25" i="48" s="1"/>
  <c r="F26" i="48"/>
  <c r="I26" i="48" s="1"/>
  <c r="F27" i="48"/>
  <c r="I27" i="48" s="1"/>
  <c r="F28" i="48"/>
  <c r="I28" i="48" s="1"/>
  <c r="F6" i="48"/>
  <c r="I6" i="48" s="1"/>
  <c r="H10" i="37"/>
  <c r="K10" i="37" s="1"/>
  <c r="H11" i="37"/>
  <c r="K11" i="37" s="1"/>
  <c r="H12" i="37"/>
  <c r="K12" i="37" s="1"/>
  <c r="H20" i="37"/>
  <c r="K20" i="37" s="1"/>
  <c r="H21" i="37"/>
  <c r="K21" i="37" s="1"/>
  <c r="H22" i="37"/>
  <c r="K22" i="37" s="1"/>
  <c r="H23" i="37"/>
  <c r="K23" i="37" s="1"/>
  <c r="H24" i="37"/>
  <c r="K24" i="37" s="1"/>
  <c r="H25" i="37"/>
  <c r="K25" i="37" s="1"/>
  <c r="H26" i="37"/>
  <c r="K26" i="37" s="1"/>
  <c r="H27" i="37"/>
  <c r="K27" i="37" s="1"/>
  <c r="H28" i="37"/>
  <c r="K28" i="37" s="1"/>
  <c r="H29" i="37"/>
  <c r="K29" i="37" s="1"/>
  <c r="H30" i="37"/>
  <c r="K30" i="37" s="1"/>
  <c r="H31" i="37"/>
  <c r="K31" i="37" s="1"/>
  <c r="G10" i="37"/>
  <c r="J10" i="37" s="1"/>
  <c r="G11" i="37"/>
  <c r="J11" i="37" s="1"/>
  <c r="G12" i="37"/>
  <c r="J12" i="37" s="1"/>
  <c r="G20" i="37"/>
  <c r="J20" i="37" s="1"/>
  <c r="G21" i="37"/>
  <c r="J21" i="37" s="1"/>
  <c r="G22" i="37"/>
  <c r="J22" i="37" s="1"/>
  <c r="G23" i="37"/>
  <c r="J23" i="37" s="1"/>
  <c r="G24" i="37"/>
  <c r="J24" i="37" s="1"/>
  <c r="G25" i="37"/>
  <c r="J25" i="37" s="1"/>
  <c r="G26" i="37"/>
  <c r="J26" i="37" s="1"/>
  <c r="G27" i="37"/>
  <c r="J27" i="37" s="1"/>
  <c r="G28" i="37"/>
  <c r="J28" i="37" s="1"/>
  <c r="G29" i="37"/>
  <c r="J29" i="37" s="1"/>
  <c r="G30" i="37"/>
  <c r="J30" i="37" s="1"/>
  <c r="G31" i="37"/>
  <c r="J31" i="37" s="1"/>
  <c r="F10" i="37"/>
  <c r="I10" i="37" s="1"/>
  <c r="F11" i="37"/>
  <c r="I11" i="37" s="1"/>
  <c r="F12" i="37"/>
  <c r="I12" i="37" s="1"/>
  <c r="F20" i="37"/>
  <c r="I20" i="37" s="1"/>
  <c r="F21" i="37"/>
  <c r="I21" i="37" s="1"/>
  <c r="F22" i="37"/>
  <c r="I22" i="37" s="1"/>
  <c r="F23" i="37"/>
  <c r="I23" i="37" s="1"/>
  <c r="F24" i="37"/>
  <c r="I24" i="37" s="1"/>
  <c r="F25" i="37"/>
  <c r="I25" i="37" s="1"/>
  <c r="F26" i="37"/>
  <c r="I26" i="37" s="1"/>
  <c r="F27" i="37"/>
  <c r="I27" i="37" s="1"/>
  <c r="F28" i="37"/>
  <c r="I28" i="37" s="1"/>
  <c r="F29" i="37"/>
  <c r="I29" i="37" s="1"/>
  <c r="F30" i="37"/>
  <c r="I30" i="37" s="1"/>
  <c r="F31" i="37"/>
  <c r="I31" i="37" s="1"/>
  <c r="K72" i="37" l="1"/>
  <c r="I72" i="37"/>
  <c r="I62" i="49"/>
  <c r="C19" i="67" s="1"/>
  <c r="I25" i="49"/>
  <c r="G25" i="49"/>
  <c r="G23" i="49"/>
  <c r="I23" i="49"/>
  <c r="I21" i="49"/>
  <c r="G21" i="49"/>
  <c r="G19" i="49"/>
  <c r="I19" i="49"/>
  <c r="I17" i="49"/>
  <c r="G17" i="49"/>
  <c r="G15" i="49"/>
  <c r="I15" i="49"/>
  <c r="G14" i="49"/>
  <c r="I14" i="49"/>
  <c r="G12" i="49"/>
  <c r="I12" i="49"/>
  <c r="G10" i="49"/>
  <c r="I10" i="49"/>
  <c r="G8" i="49"/>
  <c r="I8" i="49"/>
  <c r="J7" i="49"/>
  <c r="J25" i="49"/>
  <c r="J23" i="49"/>
  <c r="J21" i="49"/>
  <c r="J19" i="49"/>
  <c r="J17" i="49"/>
  <c r="J15" i="49"/>
  <c r="J14" i="49"/>
  <c r="J12" i="49"/>
  <c r="J10" i="49"/>
  <c r="J8" i="49"/>
  <c r="K26" i="49"/>
  <c r="K24" i="49"/>
  <c r="K22" i="49"/>
  <c r="K20" i="49"/>
  <c r="K18" i="49"/>
  <c r="K16" i="49"/>
  <c r="K13" i="49"/>
  <c r="K11" i="49"/>
  <c r="K9" i="49"/>
  <c r="K62" i="49"/>
  <c r="J62" i="49"/>
  <c r="D19" i="67" s="1"/>
  <c r="I26" i="49"/>
  <c r="G26" i="49"/>
  <c r="I24" i="49"/>
  <c r="G24" i="49"/>
  <c r="I22" i="49"/>
  <c r="G22" i="49"/>
  <c r="I20" i="49"/>
  <c r="G20" i="49"/>
  <c r="I18" i="49"/>
  <c r="G18" i="49"/>
  <c r="I16" i="49"/>
  <c r="G16" i="49"/>
  <c r="I13" i="49"/>
  <c r="G13" i="49"/>
  <c r="I11" i="49"/>
  <c r="G11" i="49"/>
  <c r="I9" i="49"/>
  <c r="G9" i="49"/>
  <c r="G7" i="49"/>
  <c r="J26" i="49"/>
  <c r="J24" i="49"/>
  <c r="J22" i="49"/>
  <c r="J20" i="49"/>
  <c r="J18" i="49"/>
  <c r="J16" i="49"/>
  <c r="J13" i="49"/>
  <c r="J11" i="49"/>
  <c r="J9" i="49"/>
  <c r="K7" i="49"/>
  <c r="K25" i="49"/>
  <c r="K23" i="49"/>
  <c r="K21" i="49"/>
  <c r="K19" i="49"/>
  <c r="K17" i="49"/>
  <c r="K15" i="49"/>
  <c r="K14" i="49"/>
  <c r="K12" i="49"/>
  <c r="K10" i="49"/>
  <c r="K8" i="49"/>
  <c r="I67" i="37"/>
  <c r="K67" i="37"/>
  <c r="J67" i="37"/>
  <c r="J72" i="37"/>
  <c r="G62" i="49"/>
  <c r="I62" i="48"/>
  <c r="D23" i="67" s="1"/>
  <c r="J62" i="48"/>
  <c r="E23" i="67" s="1"/>
  <c r="I73" i="37"/>
  <c r="I27" i="49" l="1"/>
  <c r="J27" i="49"/>
  <c r="D6" i="67" s="1"/>
  <c r="K27" i="49"/>
  <c r="E6" i="67" s="1"/>
  <c r="G27" i="49"/>
  <c r="U16" i="67" s="1"/>
  <c r="U18" i="67" s="1"/>
  <c r="K114" i="37"/>
  <c r="E24" i="67" s="1"/>
  <c r="J114" i="37"/>
  <c r="D24" i="67" s="1"/>
  <c r="D25" i="67" s="1"/>
  <c r="I114" i="37"/>
  <c r="H9" i="49"/>
  <c r="H11" i="49"/>
  <c r="H13" i="49"/>
  <c r="H16" i="49"/>
  <c r="H18" i="49"/>
  <c r="H20" i="49"/>
  <c r="H22" i="49"/>
  <c r="H24" i="49"/>
  <c r="H26" i="49"/>
  <c r="H17" i="49"/>
  <c r="H21" i="49"/>
  <c r="H25" i="49"/>
  <c r="H8" i="49"/>
  <c r="H10" i="49"/>
  <c r="H12" i="49"/>
  <c r="H14" i="49"/>
  <c r="H15" i="49"/>
  <c r="H19" i="49"/>
  <c r="H23" i="49"/>
  <c r="H7" i="49"/>
  <c r="C6" i="67" l="1"/>
  <c r="A14" i="58"/>
  <c r="U24" i="67"/>
  <c r="U21" i="67"/>
  <c r="P25" i="67" s="1"/>
  <c r="H27" i="49"/>
  <c r="M17" i="67" s="1"/>
  <c r="C24" i="67"/>
  <c r="C25" i="67" s="1"/>
  <c r="G11" i="1" l="1"/>
  <c r="G10" i="1"/>
  <c r="G9" i="1"/>
  <c r="G8" i="1"/>
  <c r="AG13" i="51" l="1"/>
  <c r="AG14" i="51"/>
  <c r="AG45" i="51" l="1"/>
  <c r="H32" i="37"/>
  <c r="K32" i="37" s="1"/>
  <c r="H33" i="37"/>
  <c r="K33" i="37" s="1"/>
  <c r="H34" i="37"/>
  <c r="K34" i="37" s="1"/>
  <c r="H35" i="37"/>
  <c r="K35" i="37" s="1"/>
  <c r="H9" i="37"/>
  <c r="K9" i="37" s="1"/>
  <c r="G32" i="37"/>
  <c r="J32" i="37" s="1"/>
  <c r="G33" i="37"/>
  <c r="J33" i="37" s="1"/>
  <c r="G34" i="37"/>
  <c r="J34" i="37" s="1"/>
  <c r="G35" i="37"/>
  <c r="J35" i="37" s="1"/>
  <c r="G9" i="37"/>
  <c r="J9" i="37" s="1"/>
  <c r="F32" i="37"/>
  <c r="I32" i="37" s="1"/>
  <c r="F33" i="37"/>
  <c r="I33" i="37" s="1"/>
  <c r="F34" i="37"/>
  <c r="I34" i="37" s="1"/>
  <c r="F35" i="37"/>
  <c r="I35" i="37" s="1"/>
  <c r="F9" i="37"/>
  <c r="I9" i="37" s="1"/>
  <c r="E19" i="67" l="1"/>
  <c r="E25" i="67" s="1"/>
  <c r="I62" i="36"/>
  <c r="C12" i="67" s="1"/>
  <c r="K62" i="36"/>
  <c r="E12" i="67" s="1"/>
  <c r="J62" i="36"/>
  <c r="D12" i="67" s="1"/>
  <c r="K36" i="37" l="1"/>
  <c r="E14" i="67" s="1"/>
  <c r="J36" i="37"/>
  <c r="D14" i="67" s="1"/>
  <c r="I36" i="37"/>
  <c r="C14" i="67" l="1"/>
  <c r="T46" i="51"/>
  <c r="T47" i="51" s="1"/>
  <c r="T48" i="51" s="1"/>
  <c r="C16" i="67" l="1"/>
  <c r="C28" i="67" s="1"/>
  <c r="C29" i="67" s="1"/>
  <c r="S46" i="51"/>
  <c r="K25" i="67" l="1"/>
  <c r="J25" i="67"/>
  <c r="J28" i="67" s="1"/>
  <c r="I35" i="67" s="1"/>
  <c r="S47" i="51"/>
  <c r="S48" i="51" s="1"/>
  <c r="Q12" i="1" l="1"/>
  <c r="Q11" i="1"/>
  <c r="Q10" i="1"/>
  <c r="Q9" i="1"/>
  <c r="Q8" i="1"/>
  <c r="Q13" i="1" l="1"/>
  <c r="Q15" i="1"/>
  <c r="Q18"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O104" i="1"/>
  <c r="O102" i="1"/>
  <c r="O65" i="1"/>
  <c r="O62" i="1"/>
  <c r="O61" i="1"/>
  <c r="O60" i="1"/>
  <c r="O55" i="1"/>
  <c r="O54" i="1"/>
  <c r="O53" i="1"/>
  <c r="O52" i="1"/>
  <c r="O51" i="1"/>
  <c r="O50" i="1"/>
  <c r="O49" i="1"/>
  <c r="O48" i="1"/>
  <c r="O47" i="1"/>
  <c r="O46" i="1"/>
  <c r="O45" i="1"/>
  <c r="O43" i="1"/>
  <c r="O42" i="1"/>
  <c r="O41" i="1"/>
  <c r="O40" i="1"/>
  <c r="O39" i="1"/>
  <c r="O38" i="1"/>
  <c r="O37" i="1"/>
  <c r="O36" i="1"/>
  <c r="O35" i="1"/>
  <c r="O34" i="1"/>
  <c r="O33" i="1"/>
  <c r="O32" i="1"/>
  <c r="O31" i="1"/>
  <c r="O30" i="1"/>
  <c r="O29" i="1"/>
  <c r="O27" i="1"/>
  <c r="O26" i="1"/>
  <c r="O25" i="1"/>
  <c r="O24" i="1"/>
  <c r="O23" i="1"/>
  <c r="O22" i="1"/>
  <c r="O21" i="1"/>
  <c r="O20" i="1"/>
  <c r="O18" i="1"/>
  <c r="O15" i="1"/>
  <c r="O13" i="1"/>
  <c r="O12" i="1"/>
  <c r="O28" i="1"/>
  <c r="O44" i="1"/>
  <c r="O56" i="1"/>
  <c r="O57" i="1"/>
  <c r="O58" i="1"/>
  <c r="O59" i="1"/>
  <c r="O63" i="1"/>
  <c r="O64"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3" i="1"/>
  <c r="O107" i="1"/>
  <c r="O108" i="1"/>
  <c r="O8" i="1"/>
  <c r="O9" i="1"/>
  <c r="O10" i="1"/>
  <c r="O11" i="1"/>
  <c r="M106" i="1"/>
  <c r="M107" i="1"/>
  <c r="M108" i="1"/>
  <c r="M105" i="1"/>
  <c r="M103" i="1"/>
  <c r="M104" i="1"/>
  <c r="M102" i="1"/>
  <c r="M95" i="1"/>
  <c r="M96" i="1"/>
  <c r="M97" i="1"/>
  <c r="M98" i="1"/>
  <c r="M99" i="1"/>
  <c r="M100" i="1"/>
  <c r="M101" i="1"/>
  <c r="M94" i="1"/>
  <c r="M92" i="1"/>
  <c r="M93" i="1"/>
  <c r="M91" i="1"/>
  <c r="M90" i="1"/>
  <c r="M89" i="1"/>
  <c r="M79" i="1"/>
  <c r="M80" i="1"/>
  <c r="M81" i="1"/>
  <c r="M82" i="1"/>
  <c r="M83" i="1"/>
  <c r="M84" i="1"/>
  <c r="M85" i="1"/>
  <c r="M86" i="1"/>
  <c r="M87" i="1"/>
  <c r="M88" i="1"/>
  <c r="M78" i="1"/>
  <c r="M77" i="1"/>
  <c r="M76" i="1"/>
  <c r="M75" i="1"/>
  <c r="M74" i="1"/>
  <c r="M73" i="1"/>
  <c r="M72" i="1"/>
  <c r="M71" i="1"/>
  <c r="M70" i="1"/>
  <c r="M67" i="1"/>
  <c r="M68" i="1"/>
  <c r="M69" i="1"/>
  <c r="M66" i="1"/>
  <c r="M61" i="1"/>
  <c r="M62" i="1"/>
  <c r="M63" i="1"/>
  <c r="M64" i="1"/>
  <c r="M65" i="1"/>
  <c r="M58" i="1"/>
  <c r="M57" i="1"/>
  <c r="M56" i="1"/>
  <c r="M59" i="1"/>
  <c r="M60" i="1"/>
  <c r="M51" i="1"/>
  <c r="M52" i="1"/>
  <c r="M53" i="1"/>
  <c r="M54" i="1"/>
  <c r="M55" i="1"/>
  <c r="M50" i="1"/>
  <c r="M33" i="1"/>
  <c r="M34" i="1"/>
  <c r="M35" i="1"/>
  <c r="M36" i="1"/>
  <c r="M37" i="1"/>
  <c r="M38" i="1"/>
  <c r="M39" i="1"/>
  <c r="M40" i="1"/>
  <c r="M41" i="1"/>
  <c r="M42" i="1"/>
  <c r="M43" i="1"/>
  <c r="M44" i="1"/>
  <c r="M45" i="1"/>
  <c r="M46" i="1"/>
  <c r="M47" i="1"/>
  <c r="M48" i="1"/>
  <c r="M49" i="1"/>
  <c r="M32" i="1"/>
  <c r="M30" i="1"/>
  <c r="M31" i="1"/>
  <c r="M29" i="1"/>
  <c r="M21" i="1"/>
  <c r="M22" i="1"/>
  <c r="M23" i="1"/>
  <c r="M24" i="1"/>
  <c r="M25" i="1"/>
  <c r="M26" i="1"/>
  <c r="M27" i="1"/>
  <c r="M28" i="1"/>
  <c r="M20" i="1"/>
  <c r="M13" i="1"/>
  <c r="M15" i="1"/>
  <c r="M18" i="1"/>
  <c r="M12" i="1"/>
  <c r="M11" i="1"/>
  <c r="M10" i="1"/>
  <c r="M9" i="1"/>
  <c r="M8" i="1"/>
  <c r="X13" i="51" l="1"/>
  <c r="V45" i="51"/>
  <c r="AB45" i="51" l="1"/>
  <c r="M13" i="67" l="1"/>
  <c r="E16" i="67" l="1"/>
  <c r="E28" i="67" s="1"/>
  <c r="E29" i="67" s="1"/>
  <c r="D16" i="67" l="1"/>
  <c r="D28" i="67" s="1"/>
  <c r="D29" i="67" s="1"/>
  <c r="X14" i="51"/>
  <c r="K28" i="67" l="1"/>
  <c r="W45" i="51"/>
  <c r="X45" i="51" l="1"/>
  <c r="M20" i="67"/>
  <c r="L25" i="67" s="1"/>
  <c r="L28" i="67" s="1"/>
  <c r="I29" i="67" s="1"/>
</calcChain>
</file>

<file path=xl/comments1.xml><?xml version="1.0" encoding="utf-8"?>
<comments xmlns="http://schemas.openxmlformats.org/spreadsheetml/2006/main">
  <authors>
    <author>Dr. Friedhelm Fritsch</author>
  </authors>
  <commentList>
    <comment ref="B75" authorId="0" shapeId="0">
      <text>
        <r>
          <rPr>
            <sz val="9"/>
            <color indexed="81"/>
            <rFont val="Segoe UI"/>
            <family val="2"/>
          </rPr>
          <t xml:space="preserve">
Hier stehen nützliche Hinweise
</t>
        </r>
      </text>
    </comment>
  </commentList>
</comments>
</file>

<file path=xl/comments2.xml><?xml version="1.0" encoding="utf-8"?>
<comments xmlns="http://schemas.openxmlformats.org/spreadsheetml/2006/main">
  <authors>
    <author>Ann-Chrisin Alzer</author>
  </authors>
  <commentList>
    <comment ref="F16" authorId="0" shapeId="0">
      <text>
        <r>
          <rPr>
            <sz val="9"/>
            <color indexed="81"/>
            <rFont val="Segoe UI"/>
            <family val="2"/>
          </rPr>
          <t xml:space="preserve">Durch Ausfüllen des Tabellenblattes "Tierhaltung" können Sie ermitteln (siehe Spalte M Zeile 45), ob sie über den 750 kg Ges.-N aus eig. Wirtschaftsdg. Tier. Herkunft liegen.
</t>
        </r>
      </text>
    </comment>
  </commentList>
</comments>
</file>

<file path=xl/comments3.xml><?xml version="1.0" encoding="utf-8"?>
<comments xmlns="http://schemas.openxmlformats.org/spreadsheetml/2006/main">
  <authors>
    <author>pc-kh-prak-g-e1</author>
    <author>Fritsch</author>
    <author>ausleihe4</author>
  </authors>
  <commentList>
    <comment ref="D6" authorId="0" shapeId="0">
      <text>
        <r>
          <rPr>
            <sz val="9"/>
            <color indexed="81"/>
            <rFont val="Segoe UI"/>
            <family val="2"/>
          </rPr>
          <t>Erträge des Futterbaus etc. in dt TM/ha übernehmen in  Spalte D ab Zeile 35 bzw. in Spalte E ab Zeile 45</t>
        </r>
      </text>
    </comment>
    <comment ref="D8" authorId="0" shapeId="0">
      <text>
        <r>
          <rPr>
            <sz val="9"/>
            <color indexed="81"/>
            <rFont val="Segoe UI"/>
            <family val="2"/>
          </rPr>
          <t>Erträge der Marktfrüchte 
in Spalte D ab Zeile 10 eintragen</t>
        </r>
      </text>
    </comment>
    <comment ref="B9" authorId="0" shapeId="0">
      <text>
        <r>
          <rPr>
            <sz val="9"/>
            <color indexed="81"/>
            <rFont val="Segoe UI"/>
            <family val="2"/>
          </rPr>
          <t xml:space="preserve">Getreide (inkl. Körnermais)
Körnerleguminosen
Ölpflanzen
Hackfrüchte/Rüben
Prod. des Weinbaus
Hopfen, Tabak, Faserpflanzen
</t>
        </r>
      </text>
    </comment>
    <comment ref="D9" authorId="0" shapeId="0">
      <text>
        <r>
          <rPr>
            <sz val="9"/>
            <color indexed="81"/>
            <rFont val="Segoe UI"/>
            <family val="2"/>
          </rPr>
          <t xml:space="preserve">Sollte der tatsächl. TM-Gehalt nicht mit dem in Spalte B angegebenen übereinstimmen, können Sie mit Hilfe des "TM-Rechners" den Ertrag für den Ziel-TM Gehalt ausrechnen
 </t>
        </r>
      </text>
    </comment>
    <comment ref="F9" authorId="1" shapeId="0">
      <text>
        <r>
          <rPr>
            <sz val="9"/>
            <color indexed="81"/>
            <rFont val="Tahoma"/>
            <family val="2"/>
          </rPr>
          <t xml:space="preserve">Vermarktung auch auswählen, wenn zunächst noch eingelagert, aber zur Vermarktung vorgesehen
</t>
        </r>
      </text>
    </comment>
    <comment ref="G9" authorId="1" shapeId="0">
      <text>
        <r>
          <rPr>
            <b/>
            <sz val="9"/>
            <color indexed="81"/>
            <rFont val="Tahoma"/>
            <family val="2"/>
          </rPr>
          <t xml:space="preserve">Strohverkauf ab Feld hier zuordnen. Bei teilweisem Verkauf die Kultur zweimal eingeben, d.h. einmal mit und einmal ohne Strohvermarktung.                  Auch bei Strohverkauf aus dem Lager am einfachsten so verfahren, d.h. den Verkauf einer bestimmten Zeile bzw. Fläche zuordnen.
 </t>
        </r>
      </text>
    </comment>
    <comment ref="B34" authorId="0" shapeId="0">
      <text>
        <r>
          <rPr>
            <sz val="9"/>
            <color indexed="81"/>
            <rFont val="Segoe UI"/>
            <family val="2"/>
          </rPr>
          <t xml:space="preserve">Wenn die  Zwischenfrucht/Begrünung eingearbeitet bzw. gemulcht wird, wählen Sie in der Spalte "Verwertung" "keine Beerntung"
</t>
        </r>
      </text>
    </comment>
    <comment ref="D34" authorId="2" shapeId="0">
      <text>
        <r>
          <rPr>
            <sz val="9"/>
            <color indexed="81"/>
            <rFont val="Segoe UI"/>
            <family val="2"/>
          </rPr>
          <t>Falls der TM-Ertrag nicht bekannt ist, können Sie mit Hilfe des "TM-Rechners" (s.o.) den TM- Ertrag ermitteln.</t>
        </r>
      </text>
    </comment>
    <comment ref="E34" authorId="0" shapeId="0">
      <text>
        <r>
          <rPr>
            <sz val="9"/>
            <color indexed="81"/>
            <rFont val="Segoe UI"/>
            <family val="2"/>
          </rPr>
          <t xml:space="preserve">Fläche wird nicht aufsummiert, da diese schon bei Marktfrüchten erfasst wurde
</t>
        </r>
      </text>
    </comment>
    <comment ref="B44" authorId="1" shapeId="0">
      <text>
        <r>
          <rPr>
            <sz val="9"/>
            <color indexed="81"/>
            <rFont val="Tahoma"/>
            <family val="2"/>
          </rPr>
          <t>Alle Nutzungsformen des Grünlands werden hier als "Grünland TM" erfasst und mit % Leguminosenanteil sowie % RP in TM gekennzeichnet. Um verschiedenen Nutzungsintensitäten gerecht zu werden, können mehrere Zeilen mit "Grünland TM" und unterschiedlichen Angaben (zu % Legum., % RP und dt TM/ha) angelegt werden.</t>
        </r>
      </text>
    </comment>
    <comment ref="D44" authorId="0" shapeId="0">
      <text>
        <r>
          <rPr>
            <sz val="9"/>
            <color indexed="81"/>
            <rFont val="Segoe UI"/>
            <family val="2"/>
          </rPr>
          <t xml:space="preserve">Siehe Grundfutteranalyse! 
Im Tabellenblatt "DüV Grünland" finden Sie Richtwerte für RP-Gehalte von Grünland
</t>
        </r>
      </text>
    </comment>
    <comment ref="E44" authorId="0" shapeId="0">
      <text>
        <r>
          <rPr>
            <sz val="9"/>
            <color indexed="81"/>
            <rFont val="Segoe UI"/>
            <family val="2"/>
          </rPr>
          <t xml:space="preserve">Falls der TM-Ertrag nicht bekannt ist, können Sie mit Hilfe des "TM-Rechners" (s.o.) den TM- Ertrag ermitteln. </t>
        </r>
      </text>
    </comment>
  </commentList>
</comments>
</file>

<file path=xl/comments4.xml><?xml version="1.0" encoding="utf-8"?>
<comments xmlns="http://schemas.openxmlformats.org/spreadsheetml/2006/main">
  <authors>
    <author>Fritsch</author>
  </authors>
  <commentList>
    <comment ref="C11" authorId="0" shapeId="0">
      <text>
        <r>
          <rPr>
            <sz val="9"/>
            <color indexed="81"/>
            <rFont val="Tahoma"/>
            <family val="2"/>
          </rPr>
          <t xml:space="preserve">Selbst erzeugtes Saatgut muss auch erfasst werden, sofern es beim Pflanzenbau als vermarktet betrachtet wurde. Raps u.a. Kleinsämereien werden nicht erfasst.
</t>
        </r>
      </text>
    </comment>
  </commentList>
</comments>
</file>

<file path=xl/comments5.xml><?xml version="1.0" encoding="utf-8"?>
<comments xmlns="http://schemas.openxmlformats.org/spreadsheetml/2006/main">
  <authors>
    <author>pc-kh-prak-g-e1</author>
  </authors>
  <commentList>
    <comment ref="E5" authorId="0" shapeId="0">
      <text>
        <r>
          <rPr>
            <sz val="9"/>
            <color indexed="81"/>
            <rFont val="Segoe UI"/>
            <family val="2"/>
          </rPr>
          <t>Bitte für Ernten ab Feld (z.B Silomais) ab Zeile 10 Spalte F eintragen.</t>
        </r>
      </text>
    </comment>
    <comment ref="E7" authorId="0" shapeId="0">
      <text>
        <r>
          <rPr>
            <sz val="9"/>
            <color indexed="81"/>
            <rFont val="Segoe UI"/>
            <family val="2"/>
          </rPr>
          <t>Der ermittelte Wert für gelagerte Produkte  
bitte ab Zeile 10 Spalte F eintragen</t>
        </r>
      </text>
    </comment>
    <comment ref="C11" authorId="0" shapeId="0">
      <text>
        <r>
          <rPr>
            <sz val="9"/>
            <color indexed="81"/>
            <rFont val="Segoe UI"/>
            <family val="2"/>
          </rPr>
          <t xml:space="preserve">Liste enthält nicht alle möglichen Gärsubstrate! Es besteht die Möglichkeit, im Tabellenblatt "Daten Biogasanlagen" weitere Substanzen einzugeben.
</t>
        </r>
      </text>
    </comment>
    <comment ref="E11" authorId="0" shapeId="0">
      <text>
        <r>
          <rPr>
            <sz val="9"/>
            <color indexed="81"/>
            <rFont val="Segoe UI"/>
            <family val="2"/>
          </rPr>
          <t>Angabe nur bei Ernte ab Feld!</t>
        </r>
      </text>
    </comment>
  </commentList>
</comments>
</file>

<file path=xl/comments6.xml><?xml version="1.0" encoding="utf-8"?>
<comments xmlns="http://schemas.openxmlformats.org/spreadsheetml/2006/main">
  <authors>
    <author>pc-kh-prak-g-e1</author>
  </authors>
  <commentList>
    <comment ref="E7" authorId="0" shapeId="0">
      <text>
        <r>
          <rPr>
            <sz val="9"/>
            <color indexed="81"/>
            <rFont val="Segoe UI"/>
            <family val="2"/>
          </rPr>
          <t xml:space="preserve">Für Ernten ab Feld, z.B. Silomais, benutzen und 
ab Zeile 11 Spalte E eintragen
</t>
        </r>
      </text>
    </comment>
    <comment ref="E9" authorId="0" shapeId="0">
      <text>
        <r>
          <rPr>
            <sz val="9"/>
            <color indexed="81"/>
            <rFont val="Segoe UI"/>
            <family val="2"/>
          </rPr>
          <t>Für fertige Produkte benutzen, z.B. Heu/Silagen,
und ab Zeile 11 Spalte E eintragen</t>
        </r>
      </text>
    </comment>
    <comment ref="E10" authorId="0" shapeId="0">
      <text>
        <r>
          <rPr>
            <sz val="9"/>
            <color indexed="81"/>
            <rFont val="Segoe UI"/>
            <family val="2"/>
          </rPr>
          <t>Falls der TM-Gehalt des Grobfutters nicht mit dem angegebenen übereinstimmt, können Sie den "TM-Rechner" nutzen.</t>
        </r>
      </text>
    </comment>
    <comment ref="E32" authorId="0" shapeId="0">
      <text>
        <r>
          <rPr>
            <sz val="9"/>
            <color indexed="81"/>
            <rFont val="Segoe UI"/>
            <family val="2"/>
          </rPr>
          <t xml:space="preserve">Falls der TM-Gehalt des Grobfutters nicht mit dem angegebenen übereinstimmt, können Sie den "TM-Rechner" (s.o.) nutzen.
</t>
        </r>
      </text>
    </comment>
  </commentList>
</comments>
</file>

<file path=xl/comments7.xml><?xml version="1.0" encoding="utf-8"?>
<comments xmlns="http://schemas.openxmlformats.org/spreadsheetml/2006/main">
  <authors>
    <author>Ann-Chrisin Alzer</author>
  </authors>
  <commentList>
    <comment ref="P8" authorId="0" shapeId="0">
      <text>
        <r>
          <rPr>
            <sz val="9"/>
            <color indexed="81"/>
            <rFont val="Segoe UI"/>
            <family val="2"/>
          </rPr>
          <t xml:space="preserve">Ein Betrieb darf im Flächdurchschnitt 170 kg Gesamt-N/ha und Jahr an organisch und organisch-mineralischen Düngemitteln, einschließlich Wirtschaftsdüngern, auch in Mischung ausbringen. Kompost darf im Flächendurchschnitt und einem Zeitraum von drei Jahren 510 kg Gesamt -N/ha nicht überschreiten. </t>
        </r>
      </text>
    </comment>
    <comment ref="I35" authorId="0" shapeId="0">
      <text>
        <r>
          <rPr>
            <sz val="9"/>
            <color indexed="81"/>
            <rFont val="Segoe UI"/>
            <family val="2"/>
          </rPr>
          <t xml:space="preserve">Betriebe, die in mit Nitrat belasteten Gebieten auf mehr als 50 ha Ackerfläche mehr als jeweils 50 kg N/ha und Jahr düngen, müssen mindestens 2 Bodenproben und pro angefangene weitere 100 ha mindestens eine weitere Bodenprobe auf Stickstoff veranlassen. Dies gilt für Kulturen des Ackerbaues mit einem N-Bedarfswert, der den im Boden verfügbaren Stickstoff einschließt. Grünland sowie Flächen mit Feldgras oder mehrschnittigem Feldfutter, Reben oder Obstgehölze zählen nicht dazu. Für </t>
        </r>
        <r>
          <rPr>
            <b/>
            <sz val="9"/>
            <color indexed="81"/>
            <rFont val="Segoe UI"/>
            <family val="2"/>
          </rPr>
          <t xml:space="preserve">Flächen mit Gemüsekulturen oder Erdbeeren besteht zu jeder Kultur eine bewirtschaftungseinheitenoder schlagspezifische N-Bodenuntersuchungspflicht. 
</t>
        </r>
        <r>
          <rPr>
            <sz val="9"/>
            <color indexed="81"/>
            <rFont val="Segoe UI"/>
            <family val="2"/>
          </rPr>
          <t>In der Regel ist die</t>
        </r>
        <r>
          <rPr>
            <b/>
            <sz val="9"/>
            <color indexed="81"/>
            <rFont val="Segoe UI"/>
            <family val="2"/>
          </rPr>
          <t xml:space="preserve"> Nmin-Methode anzuwenden, </t>
        </r>
        <r>
          <rPr>
            <sz val="9"/>
            <color indexed="81"/>
            <rFont val="Segoe UI"/>
            <family val="2"/>
          </rPr>
          <t>aber auch die</t>
        </r>
        <r>
          <rPr>
            <b/>
            <sz val="9"/>
            <color indexed="81"/>
            <rFont val="Segoe UI"/>
            <family val="2"/>
          </rPr>
          <t xml:space="preserve"> EUF-Methode ist zuflässig. </t>
        </r>
        <r>
          <rPr>
            <sz val="9"/>
            <color indexed="81"/>
            <rFont val="Segoe UI"/>
            <family val="2"/>
          </rPr>
          <t xml:space="preserve">Betriebe mit mind. 25 ha Raps können eine Bodenprobe durch die Biomasse- oder Aufwuchsmethode ersetzen (mit Fotonachweis und Berücksichtigung in der N-Düngebedarfsermittlung). 
</t>
        </r>
      </text>
    </comment>
  </commentList>
</comments>
</file>

<file path=xl/sharedStrings.xml><?xml version="1.0" encoding="utf-8"?>
<sst xmlns="http://schemas.openxmlformats.org/spreadsheetml/2006/main" count="3904" uniqueCount="1467">
  <si>
    <t>Kategorie</t>
  </si>
  <si>
    <t>kg N</t>
  </si>
  <si>
    <t>Tierart/Verfahren</t>
  </si>
  <si>
    <t xml:space="preserve">Rinder </t>
  </si>
  <si>
    <t xml:space="preserve">Schweine </t>
  </si>
  <si>
    <t xml:space="preserve">Geflügel </t>
  </si>
  <si>
    <t>Kultur</t>
  </si>
  <si>
    <t>Ernteprodukt</t>
  </si>
  <si>
    <t>Stroh</t>
  </si>
  <si>
    <t>-</t>
  </si>
  <si>
    <t>Ganzpflanze</t>
  </si>
  <si>
    <t>Korn</t>
  </si>
  <si>
    <t>Knolle</t>
  </si>
  <si>
    <t>Rübe</t>
  </si>
  <si>
    <t>Gülle</t>
  </si>
  <si>
    <t>Biogas-Gärreste</t>
  </si>
  <si>
    <t>N</t>
  </si>
  <si>
    <t>kg/dt</t>
  </si>
  <si>
    <t>Anzahl</t>
  </si>
  <si>
    <t>Mist</t>
  </si>
  <si>
    <t>Weide</t>
  </si>
  <si>
    <t>belegter Platz/erzeugtes Tier</t>
  </si>
  <si>
    <t>belegter Platz</t>
  </si>
  <si>
    <t>erzeugtes Tier</t>
  </si>
  <si>
    <t>Jungebermast 2,7 Durchg. N-P-red. bP</t>
  </si>
  <si>
    <t>Eberhaltung bP</t>
  </si>
  <si>
    <t>Junghennenaufz. 3,5 kg Zuw. N-P-red. bP</t>
  </si>
  <si>
    <t>Legehennenhalt. 17,6 kg Eimasse N-P-red. bP</t>
  </si>
  <si>
    <t>Hähnchenmast 39 Tage N-P-red. bP</t>
  </si>
  <si>
    <t>Hähnchenmast bis 29 Tage N-P-red. bP</t>
  </si>
  <si>
    <t>Putenmast gem. geschlechtl. N-P-red.  eT</t>
  </si>
  <si>
    <t>Pekingenten 6,5 Durchg. bP</t>
  </si>
  <si>
    <t>Flugenten 4 Durchg. bP</t>
  </si>
  <si>
    <t>Gänse Schnellmast  eT</t>
  </si>
  <si>
    <t>Gänse Mittelmast  eT</t>
  </si>
  <si>
    <t>Gänse Spät-/Weidemast  eT</t>
  </si>
  <si>
    <r>
      <t>P</t>
    </r>
    <r>
      <rPr>
        <b/>
        <vertAlign val="subscript"/>
        <sz val="12"/>
        <color theme="1"/>
        <rFont val="Calibri"/>
        <family val="2"/>
        <scheme val="minor"/>
      </rPr>
      <t>2</t>
    </r>
    <r>
      <rPr>
        <b/>
        <sz val="12"/>
        <color theme="1"/>
        <rFont val="Calibri"/>
        <family val="2"/>
        <scheme val="minor"/>
      </rPr>
      <t>O</t>
    </r>
    <r>
      <rPr>
        <b/>
        <vertAlign val="subscript"/>
        <sz val="12"/>
        <color theme="1"/>
        <rFont val="Calibri"/>
        <family val="2"/>
        <scheme val="minor"/>
      </rPr>
      <t>5</t>
    </r>
  </si>
  <si>
    <r>
      <t>K</t>
    </r>
    <r>
      <rPr>
        <b/>
        <vertAlign val="subscript"/>
        <sz val="12"/>
        <color theme="1"/>
        <rFont val="Calibri"/>
        <family val="2"/>
        <scheme val="minor"/>
      </rPr>
      <t>2</t>
    </r>
    <r>
      <rPr>
        <b/>
        <sz val="12"/>
        <color theme="1"/>
        <rFont val="Calibri"/>
        <family val="2"/>
        <scheme val="minor"/>
      </rPr>
      <t>O</t>
    </r>
  </si>
  <si>
    <t>Summe</t>
  </si>
  <si>
    <t>Jauche m³/6 M.</t>
  </si>
  <si>
    <t>Einstreu kg/Tier und Tag</t>
  </si>
  <si>
    <t>Lagerbedarf tierischer Wirtschaftsdünger</t>
  </si>
  <si>
    <t>Festmist t/6 M.</t>
  </si>
  <si>
    <t>Gülle          m³/6 M.</t>
  </si>
  <si>
    <t>Gülle m³/Tag</t>
  </si>
  <si>
    <t>Festmist t/Tag</t>
  </si>
  <si>
    <t>Jauche m³/Tag</t>
  </si>
  <si>
    <t>Pferde, Schafe, Ziegen</t>
  </si>
  <si>
    <t>% TM</t>
  </si>
  <si>
    <t>% bzw. kg/dt FM</t>
  </si>
  <si>
    <t>Nährstoffgehalte in % bzw. kg/dt</t>
  </si>
  <si>
    <t>Kalksalpeter</t>
  </si>
  <si>
    <t>Stickstoffmagnesia</t>
  </si>
  <si>
    <t>Harnstoff (Urea)</t>
  </si>
  <si>
    <t xml:space="preserve">Stickstoffdüngerlösung </t>
  </si>
  <si>
    <t>Kalkstickstoff</t>
  </si>
  <si>
    <t>Ammonsulfatlösung ASL</t>
  </si>
  <si>
    <t>Sonstige org. Dünger</t>
  </si>
  <si>
    <t>G, GR</t>
  </si>
  <si>
    <t>M, J, W</t>
  </si>
  <si>
    <t>M, J</t>
  </si>
  <si>
    <t>W</t>
  </si>
  <si>
    <t>Zufuhr=Aufbringung (für NV) mit Stall-, Lagerungs- und Aufbringungsverluste</t>
  </si>
  <si>
    <t>Aufbringungsverluste % Abzüge von den N-Gehalten der Wirtschaftsdünger (für NV)</t>
  </si>
  <si>
    <t>Ausbringung (für N-Obergrenze 170 kg N/ha) mit Stall- und Lagerungsverluste</t>
  </si>
  <si>
    <t>Kalkammonsalpeter KAS</t>
  </si>
  <si>
    <t>Ammonsulfatsalpeter ASS</t>
  </si>
  <si>
    <t>Ammoniumsulfat SSA</t>
  </si>
  <si>
    <t>Harnstoff m. NH</t>
  </si>
  <si>
    <t>ASS m. NH</t>
  </si>
  <si>
    <t>Harnstoff-Ammonsulfat HAS</t>
  </si>
  <si>
    <t>Diammonphosphat DAP</t>
  </si>
  <si>
    <t>Superphosphat</t>
  </si>
  <si>
    <t>Triple-Superphosphat</t>
  </si>
  <si>
    <t>Kalirohsalz</t>
  </si>
  <si>
    <t>Kaliumsulfat</t>
  </si>
  <si>
    <t>Teilaufgeschl. Rohphosphat</t>
  </si>
  <si>
    <t>Menge in dt</t>
  </si>
  <si>
    <t>N-Obergrenze</t>
  </si>
  <si>
    <t>ha</t>
  </si>
  <si>
    <r>
      <t>Handelsdünger 1 (</t>
    </r>
    <r>
      <rPr>
        <sz val="12"/>
        <color rgb="FFFF0000"/>
        <rFont val="Calibri"/>
        <family val="2"/>
        <scheme val="minor"/>
      </rPr>
      <t>eigene Angaben</t>
    </r>
    <r>
      <rPr>
        <sz val="12"/>
        <color theme="1"/>
        <rFont val="Calibri"/>
        <family val="2"/>
        <scheme val="minor"/>
      </rPr>
      <t>)</t>
    </r>
  </si>
  <si>
    <r>
      <t>Handelsdünger 2 (</t>
    </r>
    <r>
      <rPr>
        <sz val="12"/>
        <color rgb="FFFF0000"/>
        <rFont val="Calibri"/>
        <family val="2"/>
        <scheme val="minor"/>
      </rPr>
      <t>eigene Angaben</t>
    </r>
    <r>
      <rPr>
        <sz val="12"/>
        <color theme="1"/>
        <rFont val="Calibri"/>
        <family val="2"/>
        <scheme val="minor"/>
      </rPr>
      <t>)</t>
    </r>
  </si>
  <si>
    <r>
      <t>Handelsdünger 3 (</t>
    </r>
    <r>
      <rPr>
        <sz val="12"/>
        <color rgb="FFFF0000"/>
        <rFont val="Calibri"/>
        <family val="2"/>
        <scheme val="minor"/>
      </rPr>
      <t>eigene Angaben</t>
    </r>
    <r>
      <rPr>
        <sz val="12"/>
        <color theme="1"/>
        <rFont val="Calibri"/>
        <family val="2"/>
        <scheme val="minor"/>
      </rPr>
      <t>)</t>
    </r>
  </si>
  <si>
    <r>
      <t>Handelsdünger 4 (</t>
    </r>
    <r>
      <rPr>
        <sz val="12"/>
        <color rgb="FFFF0000"/>
        <rFont val="Calibri"/>
        <family val="2"/>
        <scheme val="minor"/>
      </rPr>
      <t>eigene Angaben</t>
    </r>
    <r>
      <rPr>
        <sz val="12"/>
        <color theme="1"/>
        <rFont val="Calibri"/>
        <family val="2"/>
        <scheme val="minor"/>
      </rPr>
      <t>)</t>
    </r>
  </si>
  <si>
    <r>
      <t>Handelsdünger 5 (</t>
    </r>
    <r>
      <rPr>
        <sz val="12"/>
        <color rgb="FFFF0000"/>
        <rFont val="Calibri"/>
        <family val="2"/>
        <scheme val="minor"/>
      </rPr>
      <t>eigene Angaben</t>
    </r>
    <r>
      <rPr>
        <sz val="12"/>
        <color theme="1"/>
        <rFont val="Calibri"/>
        <family val="2"/>
        <scheme val="minor"/>
      </rPr>
      <t>)</t>
    </r>
  </si>
  <si>
    <r>
      <t>Handelsdünger 6 (</t>
    </r>
    <r>
      <rPr>
        <sz val="12"/>
        <color rgb="FFFF0000"/>
        <rFont val="Calibri"/>
        <family val="2"/>
        <scheme val="minor"/>
      </rPr>
      <t>eigene Angaben</t>
    </r>
    <r>
      <rPr>
        <sz val="12"/>
        <color theme="1"/>
        <rFont val="Calibri"/>
        <family val="2"/>
        <scheme val="minor"/>
      </rPr>
      <t>)</t>
    </r>
  </si>
  <si>
    <t>Rapsextraktionsschrot</t>
  </si>
  <si>
    <t>Heu</t>
  </si>
  <si>
    <t>Most</t>
  </si>
  <si>
    <t>HNV 1:x</t>
  </si>
  <si>
    <t>Ackerbohnen</t>
  </si>
  <si>
    <t>N-Bindung Leguminosen</t>
  </si>
  <si>
    <t>Sicherheitskopie!</t>
  </si>
  <si>
    <t>Tabelle ist ungeschützt, um eigene Analysewerte eintragen zu können!</t>
  </si>
  <si>
    <t>Hauptfrucht</t>
  </si>
  <si>
    <r>
      <t>Wirtschaftsdünger 1 (</t>
    </r>
    <r>
      <rPr>
        <sz val="12"/>
        <color rgb="FFFF0000"/>
        <rFont val="Calibri"/>
        <family val="2"/>
        <scheme val="minor"/>
      </rPr>
      <t>eigene Angaben</t>
    </r>
    <r>
      <rPr>
        <sz val="12"/>
        <color theme="1"/>
        <rFont val="Calibri"/>
        <family val="2"/>
        <scheme val="minor"/>
      </rPr>
      <t>)</t>
    </r>
  </si>
  <si>
    <r>
      <t>Wirtschaftsdünger 2 (</t>
    </r>
    <r>
      <rPr>
        <sz val="12"/>
        <color rgb="FFFF0000"/>
        <rFont val="Calibri"/>
        <family val="2"/>
        <scheme val="minor"/>
      </rPr>
      <t>eigene Angaben</t>
    </r>
    <r>
      <rPr>
        <sz val="12"/>
        <color theme="1"/>
        <rFont val="Calibri"/>
        <family val="2"/>
        <scheme val="minor"/>
      </rPr>
      <t>)</t>
    </r>
  </si>
  <si>
    <r>
      <t>Wirtschaftsdünger 3 (</t>
    </r>
    <r>
      <rPr>
        <sz val="12"/>
        <color rgb="FFFF0000"/>
        <rFont val="Calibri"/>
        <family val="2"/>
        <scheme val="minor"/>
      </rPr>
      <t>eigene Angaben</t>
    </r>
    <r>
      <rPr>
        <sz val="12"/>
        <color theme="1"/>
        <rFont val="Calibri"/>
        <family val="2"/>
        <scheme val="minor"/>
      </rPr>
      <t>)</t>
    </r>
  </si>
  <si>
    <t xml:space="preserve">kg N-Bindung/dt </t>
  </si>
  <si>
    <t>Rübe+Blatt</t>
  </si>
  <si>
    <t>Kolben+teilw. Lieschblätter</t>
  </si>
  <si>
    <t>Kolben+Lieschblätter</t>
  </si>
  <si>
    <t>% RP</t>
  </si>
  <si>
    <t>Handelsdünger</t>
  </si>
  <si>
    <t>Wirtschaftsdünger</t>
  </si>
  <si>
    <t>Menge x Gehalt</t>
  </si>
  <si>
    <t>gering</t>
  </si>
  <si>
    <t>mittel</t>
  </si>
  <si>
    <t>hoch</t>
  </si>
  <si>
    <t>Erbsen</t>
  </si>
  <si>
    <r>
      <t>(</t>
    </r>
    <r>
      <rPr>
        <sz val="11"/>
        <color rgb="FFFF0000"/>
        <rFont val="Calibri"/>
        <family val="2"/>
        <scheme val="minor"/>
      </rPr>
      <t>eigene Angaben</t>
    </r>
    <r>
      <rPr>
        <sz val="11"/>
        <color theme="1"/>
        <rFont val="Calibri"/>
        <family val="2"/>
        <scheme val="minor"/>
      </rPr>
      <t>)</t>
    </r>
  </si>
  <si>
    <t>Getreide</t>
  </si>
  <si>
    <t>Kartoffeln</t>
  </si>
  <si>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</si>
  <si>
    <r>
      <t>K</t>
    </r>
    <r>
      <rPr>
        <b/>
        <vertAlign val="subscript"/>
        <sz val="11"/>
        <color theme="1"/>
        <rFont val="Calibri"/>
        <family val="2"/>
        <scheme val="minor"/>
      </rPr>
      <t>2</t>
    </r>
    <r>
      <rPr>
        <b/>
        <sz val="11"/>
        <color theme="1"/>
        <rFont val="Calibri"/>
        <family val="2"/>
        <scheme val="minor"/>
      </rPr>
      <t>O</t>
    </r>
  </si>
  <si>
    <t>Stutenmilch</t>
  </si>
  <si>
    <t>Legehennen</t>
  </si>
  <si>
    <t>Masthähnchen</t>
  </si>
  <si>
    <t>Puten</t>
  </si>
  <si>
    <t>Enten</t>
  </si>
  <si>
    <t>Gänse</t>
  </si>
  <si>
    <t>Kaninchen</t>
  </si>
  <si>
    <t>Gehegewild</t>
  </si>
  <si>
    <t>Schafwolle</t>
  </si>
  <si>
    <t>Mais</t>
  </si>
  <si>
    <t>Sojabohnen</t>
  </si>
  <si>
    <t>Orientierungswert</t>
  </si>
  <si>
    <t>Futtermittel</t>
  </si>
  <si>
    <r>
      <t>Futtermittel 3 (</t>
    </r>
    <r>
      <rPr>
        <sz val="12"/>
        <color rgb="FFFF0000"/>
        <rFont val="Calibri"/>
        <family val="2"/>
        <scheme val="minor"/>
      </rPr>
      <t>eigene Angaben</t>
    </r>
    <r>
      <rPr>
        <sz val="12"/>
        <color theme="1"/>
        <rFont val="Calibri"/>
        <family val="2"/>
        <scheme val="minor"/>
      </rPr>
      <t>)</t>
    </r>
  </si>
  <si>
    <r>
      <t>Futtermittel 4 (</t>
    </r>
    <r>
      <rPr>
        <sz val="12"/>
        <color rgb="FFFF0000"/>
        <rFont val="Calibri"/>
        <family val="2"/>
        <scheme val="minor"/>
      </rPr>
      <t>eigene Angaben</t>
    </r>
    <r>
      <rPr>
        <sz val="12"/>
        <color theme="1"/>
        <rFont val="Calibri"/>
        <family val="2"/>
        <scheme val="minor"/>
      </rPr>
      <t>)</t>
    </r>
  </si>
  <si>
    <t>Futtermittelzukauf</t>
  </si>
  <si>
    <t>Saatgutzukauf</t>
  </si>
  <si>
    <t>kg/dt FM</t>
  </si>
  <si>
    <t>dt FM</t>
  </si>
  <si>
    <t>Saatgut</t>
  </si>
  <si>
    <t>Tierzukauf</t>
  </si>
  <si>
    <t>Rind, milchbetont LG</t>
  </si>
  <si>
    <t>Rind, milchbetont SG</t>
  </si>
  <si>
    <t>Rind, fleischbetont LG</t>
  </si>
  <si>
    <t>Rind, fleischbetont SG</t>
  </si>
  <si>
    <t>Schweine LG</t>
  </si>
  <si>
    <t>Schweine SG</t>
  </si>
  <si>
    <t>Schafe LG</t>
  </si>
  <si>
    <t>Schafe SG</t>
  </si>
  <si>
    <t>Ziegen LG</t>
  </si>
  <si>
    <t>Ziegen SG</t>
  </si>
  <si>
    <t>Verkauf tierischer Produkte</t>
  </si>
  <si>
    <t>Hühnerei</t>
  </si>
  <si>
    <t>Ausschlachtung</t>
  </si>
  <si>
    <t>Verwertung</t>
  </si>
  <si>
    <t>N-Bindung der Leguminosen</t>
  </si>
  <si>
    <t>Zweit- und Zwischenfrucht</t>
  </si>
  <si>
    <r>
      <t>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</si>
  <si>
    <r>
      <t>K</t>
    </r>
    <r>
      <rPr>
        <vertAlign val="subscript"/>
        <sz val="11"/>
        <color theme="1"/>
        <rFont val="Calibri"/>
        <family val="2"/>
        <scheme val="minor"/>
      </rPr>
      <t>2</t>
    </r>
    <r>
      <rPr>
        <sz val="11"/>
        <color theme="1"/>
        <rFont val="Calibri"/>
        <family val="2"/>
        <scheme val="minor"/>
      </rPr>
      <t>O</t>
    </r>
  </si>
  <si>
    <t>GL</t>
  </si>
  <si>
    <t>AL</t>
  </si>
  <si>
    <t>Ackerland/           Grünland</t>
  </si>
  <si>
    <t>Summe AL</t>
  </si>
  <si>
    <t>Summe GL</t>
  </si>
  <si>
    <t>Nährstoffsalden in kg gesamt</t>
  </si>
  <si>
    <t>Nährstoffsalden in kg/ha LF</t>
  </si>
  <si>
    <t>Jahr</t>
  </si>
  <si>
    <t>Summe in kg</t>
  </si>
  <si>
    <t>leer</t>
  </si>
  <si>
    <t>Und so funktioniert es:</t>
  </si>
  <si>
    <t>dropdown-Auswahl</t>
  </si>
  <si>
    <t>Eingabefelder</t>
  </si>
  <si>
    <t>Ammoniumnitrat-Harnstoff AHL 28</t>
  </si>
  <si>
    <t>Ammoniumnitrat-Harnstoff AHL 30</t>
  </si>
  <si>
    <t>Ammoniumnitrat-Harnstoff AHL 32</t>
  </si>
  <si>
    <t>1.</t>
  </si>
  <si>
    <t>3.</t>
  </si>
  <si>
    <t>4.</t>
  </si>
  <si>
    <t>5.</t>
  </si>
  <si>
    <t>6.</t>
  </si>
  <si>
    <t>7.</t>
  </si>
  <si>
    <t>8.</t>
  </si>
  <si>
    <t>Mindestanrechnung in % vom Gesamt-N</t>
  </si>
  <si>
    <t>N-Aufbringungsverluste in % vom Gesamt-N</t>
  </si>
  <si>
    <t>Nährstoffvergleich!</t>
  </si>
  <si>
    <t>Stoffstrombilanz!</t>
  </si>
  <si>
    <t>SSB</t>
  </si>
  <si>
    <t>Tierhaltung</t>
  </si>
  <si>
    <r>
      <t xml:space="preserve">Tretmist </t>
    </r>
    <r>
      <rPr>
        <b/>
        <sz val="9"/>
        <color theme="0" tint="-0.499984740745262"/>
        <rFont val="Calibri"/>
        <family val="2"/>
        <scheme val="minor"/>
      </rPr>
      <t>(6-8 kg Einstreu/GV u. Tag)</t>
    </r>
  </si>
  <si>
    <r>
      <t xml:space="preserve">Tiefmist </t>
    </r>
    <r>
      <rPr>
        <b/>
        <sz val="9"/>
        <color theme="0" tint="-0.499984740745262"/>
        <rFont val="Calibri"/>
        <family val="2"/>
        <scheme val="minor"/>
      </rPr>
      <t>(&gt; 11 kg Einstreu/GV u. Tag)</t>
    </r>
  </si>
  <si>
    <t>Einstreu-menge</t>
  </si>
  <si>
    <t>Reitponys 300 kg Stall bP</t>
  </si>
  <si>
    <t>Reitponys 300 kg Stall/Weide bP</t>
  </si>
  <si>
    <t>Zuchtstuten Großpferd 600 kg bP</t>
  </si>
  <si>
    <t>Zuchtstuten Pony 350 kg bP</t>
  </si>
  <si>
    <t>Aufzuchtpferde Großpferd bP</t>
  </si>
  <si>
    <t>Aufzuchtpferde Pony bP</t>
  </si>
  <si>
    <t>N-Aufbringungsverluste</t>
  </si>
  <si>
    <t>kg/t</t>
  </si>
  <si>
    <t>Grobfutter</t>
  </si>
  <si>
    <t>Grobfutterverkauf</t>
  </si>
  <si>
    <t>Stoffstrombilanz</t>
  </si>
  <si>
    <r>
      <t>Futtermittel 1 (</t>
    </r>
    <r>
      <rPr>
        <sz val="12"/>
        <color rgb="FFFF0000"/>
        <rFont val="Calibri"/>
        <family val="2"/>
        <scheme val="minor"/>
      </rPr>
      <t>eigene Angaben</t>
    </r>
    <r>
      <rPr>
        <sz val="12"/>
        <color theme="1"/>
        <rFont val="Calibri"/>
        <family val="2"/>
        <scheme val="minor"/>
      </rPr>
      <t>)</t>
    </r>
  </si>
  <si>
    <r>
      <t>Futtermittel 2 (</t>
    </r>
    <r>
      <rPr>
        <sz val="12"/>
        <color rgb="FFFF0000"/>
        <rFont val="Calibri"/>
        <family val="2"/>
        <scheme val="minor"/>
      </rPr>
      <t>eigene Angaben</t>
    </r>
    <r>
      <rPr>
        <sz val="12"/>
        <color theme="1"/>
        <rFont val="Calibri"/>
        <family val="2"/>
        <scheme val="minor"/>
      </rPr>
      <t>)</t>
    </r>
  </si>
  <si>
    <t>Tiere/tierische Produkte</t>
  </si>
  <si>
    <t>dt * kg/dt</t>
  </si>
  <si>
    <t>dem Betrieb zuführte Nährstoffmengen</t>
  </si>
  <si>
    <t>vom Betrieb abgegebene Nährstoffmengen</t>
  </si>
  <si>
    <t>Erfassung</t>
  </si>
  <si>
    <t>zulässige N-Verluste</t>
  </si>
  <si>
    <t>ha * kg N/ha</t>
  </si>
  <si>
    <t>Tierverkauf</t>
  </si>
  <si>
    <t>Vorgänge im Betrieb</t>
  </si>
  <si>
    <t>Ernte zum Verkauf</t>
  </si>
  <si>
    <t>Mineraldüngerzukauf</t>
  </si>
  <si>
    <t>Zukauf org. DgM.</t>
  </si>
  <si>
    <t>Weidetierhaltung</t>
  </si>
  <si>
    <t>Gärrest-Lagerung</t>
  </si>
  <si>
    <t>N-Überschuss der LF</t>
  </si>
  <si>
    <t>Tierhaltung im Stall                            und WDg.-Lagerung</t>
  </si>
  <si>
    <t>Zukauf pflanzl. Substrate</t>
  </si>
  <si>
    <t>Zukauf tier. Substrate</t>
  </si>
  <si>
    <t>Lagerung Grobfutter für Wdk.</t>
  </si>
  <si>
    <t>Verkauf tierischer WDg.</t>
  </si>
  <si>
    <t>50 kg N/ha LF</t>
  </si>
  <si>
    <t>Fläche</t>
  </si>
  <si>
    <t>Verkauf von Gärresten</t>
  </si>
  <si>
    <t>Aufbringung zugekaufter tier. WDg.  oder Gärreste</t>
  </si>
  <si>
    <t>auf selbst bewirtschaft. Flächen</t>
  </si>
  <si>
    <t>ha * dt/ha * kg/dt                                                                                              oder dt ges. * kg/dt</t>
  </si>
  <si>
    <t>anstatt dt * kg/dt auch t * kg/t</t>
  </si>
  <si>
    <t>dt * kg/dt    oder                                                                       N-Aussch. minus % St.-/Lag.-Verluste                     bzw. P-Aussch.</t>
  </si>
  <si>
    <t>N-Bindung Legum.</t>
  </si>
  <si>
    <t>5 bzw. 10 % Aufbr.Verl. * Menge * N-Gehalt</t>
  </si>
  <si>
    <t>5 % Lagerverl. * Menge * N-Gehalt aller pflanzl. Substrate</t>
  </si>
  <si>
    <t>Lagerung eigener plus zugekaufter pflanzl. Substrate</t>
  </si>
  <si>
    <t>lfd. Nr. Anl. 4 Tab. 1 StoffBilV</t>
  </si>
  <si>
    <t>5 % Lagerverl. * Menge * N-Gehalt aller Substrate (nach Abzug von Verlust 3) ohne eigene Wirtschaftsdg.</t>
  </si>
  <si>
    <t>eigene Tier-haltung</t>
  </si>
  <si>
    <t>Aufbringung eigener Gärreste</t>
  </si>
  <si>
    <t>Aufbringung eigener tierischer WDg.</t>
  </si>
  <si>
    <t>bei Rinder- und Schweinegülle Werte ab 2020</t>
  </si>
  <si>
    <t>eigene BGA</t>
  </si>
  <si>
    <t>15 bis 45 % Stall-/Lagerungsverl. * N-Ausscheid.</t>
  </si>
  <si>
    <t>75 % N-Aussch. Tiere * Anteil Weidetage</t>
  </si>
  <si>
    <t>5 bzw. 10 % Aufbr.Verl. * (N-Aussch. minus St.-/Lag.-Verl.)    oder     5 bzw. 10 % Aufbr.Verl. * Menge * N-Gehalt</t>
  </si>
  <si>
    <t>Zukauf and. Substrate</t>
  </si>
  <si>
    <t>"Zukauf" gilt für jegliche Aufnahme, auch ohne Bezahlung</t>
  </si>
  <si>
    <t>"Verkauf" gilt für jegliche Abgabe, auch ohne Bezahlung</t>
  </si>
  <si>
    <t>10 % Aufbr.Verl. * Menge eig. Gärreste * N-Gehalt</t>
  </si>
  <si>
    <t>Produkt</t>
  </si>
  <si>
    <t xml:space="preserve"> </t>
  </si>
  <si>
    <t>Tiere</t>
  </si>
  <si>
    <t>Tierabgänge (geschlachtet)</t>
  </si>
  <si>
    <t>Tierzugang</t>
  </si>
  <si>
    <t>Anzurechnende Mindestwerte in Prozent der Ausscheidungen an Gesamtstickstoff in Wirtschaftsdüngern tierischer Herkunft</t>
  </si>
  <si>
    <t>nach Abzug der Stall- und Lagerungsverluste</t>
  </si>
  <si>
    <t>Gülle, Gärrückstände</t>
  </si>
  <si>
    <t>Festmist, Jauche, Weidehaltung</t>
  </si>
  <si>
    <t>Summe gesamt</t>
  </si>
  <si>
    <t>Kompost</t>
  </si>
  <si>
    <t>Code</t>
  </si>
  <si>
    <t>Summe Hauptfrucht</t>
  </si>
  <si>
    <t xml:space="preserve">Ausscheidung </t>
  </si>
  <si>
    <t xml:space="preserve">Nährstoffaufnahme Grobfutter </t>
  </si>
  <si>
    <t>Lagerbedarf</t>
  </si>
  <si>
    <t>0,0025x + 22</t>
  </si>
  <si>
    <t>0,006x + 54</t>
  </si>
  <si>
    <t>Formeln (x = jährliche Milchleistung pro Kuh in kg)</t>
  </si>
  <si>
    <t>nach Abzug der Stall-, Lagerungs- und Ausbringungsverluste</t>
  </si>
  <si>
    <t>Festmist, Jauche</t>
  </si>
  <si>
    <t>Weidehaltung</t>
  </si>
  <si>
    <t>Ausscheidung pro Mastplatz und Jahr in kg</t>
  </si>
  <si>
    <t>Art der Fütterung</t>
  </si>
  <si>
    <t>Universalfutter</t>
  </si>
  <si>
    <t>0,0058x + 7,0627</t>
  </si>
  <si>
    <t>0,0009x + 4,1288</t>
  </si>
  <si>
    <t>0,0023x + 3,9271</t>
  </si>
  <si>
    <t>N.P. red</t>
  </si>
  <si>
    <t>0,0055x + 6,8356</t>
  </si>
  <si>
    <t>0,0014x + 3,0932</t>
  </si>
  <si>
    <t>0,0028x + 3,3915</t>
  </si>
  <si>
    <t>Stark N.P. red</t>
  </si>
  <si>
    <t>0,0052x + 6,0136</t>
  </si>
  <si>
    <t>0,0006x + 3,3542</t>
  </si>
  <si>
    <t>0,0024x + 3,522</t>
  </si>
  <si>
    <t>Körnerleguminosen</t>
  </si>
  <si>
    <t>Hackfrüchte</t>
  </si>
  <si>
    <t>Weinbau</t>
  </si>
  <si>
    <t>Trauben</t>
  </si>
  <si>
    <t>Ölpflanzen</t>
  </si>
  <si>
    <t>Sonderkulturen</t>
  </si>
  <si>
    <t>Dolden</t>
  </si>
  <si>
    <t>Blätter</t>
  </si>
  <si>
    <t>Knollen</t>
  </si>
  <si>
    <t>Zwiebel</t>
  </si>
  <si>
    <t>Stange</t>
  </si>
  <si>
    <t>Frucht</t>
  </si>
  <si>
    <t>Beere</t>
  </si>
  <si>
    <t>Futterbau/Gärsubstrate</t>
  </si>
  <si>
    <r>
      <t>kg P</t>
    </r>
    <r>
      <rPr>
        <vertAlign val="subscript"/>
        <sz val="12"/>
        <rFont val="Calibri"/>
        <family val="2"/>
        <scheme val="minor"/>
      </rPr>
      <t>2</t>
    </r>
    <r>
      <rPr>
        <sz val="12"/>
        <rFont val="Calibri"/>
        <family val="2"/>
        <scheme val="minor"/>
      </rPr>
      <t>O</t>
    </r>
    <r>
      <rPr>
        <vertAlign val="subscript"/>
        <sz val="12"/>
        <rFont val="Calibri"/>
        <family val="2"/>
        <scheme val="minor"/>
      </rPr>
      <t>5</t>
    </r>
  </si>
  <si>
    <r>
      <t>kg K</t>
    </r>
    <r>
      <rPr>
        <vertAlign val="subscript"/>
        <sz val="12"/>
        <rFont val="Calibri"/>
        <family val="2"/>
        <scheme val="minor"/>
      </rPr>
      <t>2</t>
    </r>
    <r>
      <rPr>
        <sz val="12"/>
        <rFont val="Calibri"/>
        <family val="2"/>
        <scheme val="minor"/>
      </rPr>
      <t>O</t>
    </r>
  </si>
  <si>
    <t>eigene Angaben</t>
  </si>
  <si>
    <r>
      <t>-0,08x</t>
    </r>
    <r>
      <rPr>
        <vertAlign val="superscript"/>
        <sz val="11"/>
        <color theme="1"/>
        <rFont val="Calibri"/>
        <family val="2"/>
        <scheme val="minor"/>
      </rPr>
      <t>2</t>
    </r>
    <r>
      <rPr>
        <sz val="11"/>
        <color theme="1"/>
        <rFont val="Calibri"/>
        <family val="2"/>
        <scheme val="minor"/>
      </rPr>
      <t xml:space="preserve"> + 0,532x + 0,023</t>
    </r>
  </si>
  <si>
    <r>
      <t>-0,783x</t>
    </r>
    <r>
      <rPr>
        <vertAlign val="superscript"/>
        <sz val="11"/>
        <color theme="1"/>
        <rFont val="Calibri"/>
        <family val="2"/>
        <scheme val="minor"/>
      </rPr>
      <t>2</t>
    </r>
    <r>
      <rPr>
        <sz val="11"/>
        <color theme="1"/>
        <rFont val="Calibri"/>
        <family val="2"/>
        <scheme val="minor"/>
      </rPr>
      <t xml:space="preserve"> + 4,3312x - 2,9868</t>
    </r>
  </si>
  <si>
    <r>
      <t>Formeln Berechnung für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 xml:space="preserve">5 </t>
    </r>
    <r>
      <rPr>
        <sz val="11"/>
        <color theme="1"/>
        <rFont val="Calibri"/>
        <family val="2"/>
        <scheme val="minor"/>
      </rPr>
      <t>und K</t>
    </r>
    <r>
      <rPr>
        <vertAlign val="subscript"/>
        <sz val="11"/>
        <color theme="1"/>
        <rFont val="Calibri"/>
        <family val="2"/>
        <scheme val="minor"/>
      </rPr>
      <t>2</t>
    </r>
    <r>
      <rPr>
        <sz val="11"/>
        <color theme="1"/>
        <rFont val="Calibri"/>
        <family val="2"/>
        <scheme val="minor"/>
      </rPr>
      <t>O beim Grünland</t>
    </r>
  </si>
  <si>
    <t>Summe Grünland/Futterbau</t>
  </si>
  <si>
    <t>an Wiederkäuer verfüttert</t>
  </si>
  <si>
    <t>Anzahl Nutzungen</t>
  </si>
  <si>
    <t>dt TM/ha</t>
  </si>
  <si>
    <t>%TM</t>
  </si>
  <si>
    <t>%RP</t>
  </si>
  <si>
    <t>kg /dt Ernteprodukt</t>
  </si>
  <si>
    <t>Nährstoffaufnahme aus Grobfutter pro Jahr und Tier</t>
  </si>
  <si>
    <t>Nährstoffausscheidungen pro Jahr und Tier</t>
  </si>
  <si>
    <t>Ernte ab Feld</t>
  </si>
  <si>
    <t>Silagen,Heu</t>
  </si>
  <si>
    <t>Grassilage 4.,5. Schnitt (35% TM)</t>
  </si>
  <si>
    <t>Quelle: DÜV, Gruber Futterwerttabellen</t>
  </si>
  <si>
    <t>Roggenstroh</t>
  </si>
  <si>
    <t>Triticalenstroh</t>
  </si>
  <si>
    <t>Haferstroh</t>
  </si>
  <si>
    <t>Körnermaisstroh</t>
  </si>
  <si>
    <t>NPK-Dünger 15+15+15</t>
  </si>
  <si>
    <t>NPK-Dünger 13+13+21</t>
  </si>
  <si>
    <t>NPK-Dünger 20+8+8</t>
  </si>
  <si>
    <t>Silagen/Heu</t>
  </si>
  <si>
    <t>Silage</t>
  </si>
  <si>
    <t>Substrate</t>
  </si>
  <si>
    <t>Körnerleguminose</t>
  </si>
  <si>
    <t>Ölfrüchte</t>
  </si>
  <si>
    <t>Sonstiges</t>
  </si>
  <si>
    <t>CODE</t>
  </si>
  <si>
    <t>Kuhmilch</t>
  </si>
  <si>
    <r>
      <t>Quellen: 1. N und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xml:space="preserve"> aus Stoffstrombilanzverordnung, Anlage 1 Tabelle 4, K</t>
    </r>
    <r>
      <rPr>
        <vertAlign val="subscript"/>
        <sz val="11"/>
        <color theme="1"/>
        <rFont val="Calibri"/>
        <family val="2"/>
        <scheme val="minor"/>
      </rPr>
      <t>2</t>
    </r>
    <r>
      <rPr>
        <sz val="11"/>
        <color theme="1"/>
        <rFont val="Calibri"/>
        <family val="2"/>
        <scheme val="minor"/>
      </rPr>
      <t>O Gruber Futterwerttabelle     2. Angaben aus Gruber Futterwerttabelle</t>
    </r>
  </si>
  <si>
    <t>Quelle</t>
  </si>
  <si>
    <t>Unvermeidbare Stickstoffverluste bei der Aufbringung in %</t>
  </si>
  <si>
    <t>Durchschnittsgehalte</t>
  </si>
  <si>
    <t>Ermittlung der Großvieheinheiten</t>
  </si>
  <si>
    <t>Bezeichnung</t>
  </si>
  <si>
    <t>GV</t>
  </si>
  <si>
    <t>Ponys und Kleinpferde</t>
  </si>
  <si>
    <t>Andere Pferde unter 3 Jahren</t>
  </si>
  <si>
    <t>Andere Pferde 3 Jahre alt und älter</t>
  </si>
  <si>
    <t>Kälber und Jungrinder unter 1 Jahr</t>
  </si>
  <si>
    <t>Jungrinder 1 bis unter 2 Jahre</t>
  </si>
  <si>
    <t>Färsen, Milchkühe, Mutterkühe, Masttiere</t>
  </si>
  <si>
    <t xml:space="preserve">Schafe unter 1 Jahr einschl. Lämmer </t>
  </si>
  <si>
    <t>Schafe 1 Jahr alt und älter</t>
  </si>
  <si>
    <t>Ferkel</t>
  </si>
  <si>
    <t>Legehennen 0,5 Jahr und älter</t>
  </si>
  <si>
    <t>Schlacht- und Masthähne und -hühner</t>
  </si>
  <si>
    <t>Truthühner</t>
  </si>
  <si>
    <t>Name des Betriebes</t>
  </si>
  <si>
    <t>Anschrift</t>
  </si>
  <si>
    <t>Betriebsinhaber</t>
  </si>
  <si>
    <t>Datum</t>
  </si>
  <si>
    <t>erstellt von</t>
  </si>
  <si>
    <t>Düngejahr</t>
  </si>
  <si>
    <t>von</t>
  </si>
  <si>
    <t>bis</t>
  </si>
  <si>
    <t>Tag</t>
  </si>
  <si>
    <t>Monat</t>
  </si>
  <si>
    <t>Vorjahre</t>
  </si>
  <si>
    <t>E-Mail</t>
  </si>
  <si>
    <t>Aufbringung</t>
  </si>
  <si>
    <t>Fläche ha</t>
  </si>
  <si>
    <t xml:space="preserve"> Fläche ha</t>
  </si>
  <si>
    <t xml:space="preserve">Datum </t>
  </si>
  <si>
    <t xml:space="preserve">      Tage/Jahr  (1 Jahr = 365 Tage)</t>
  </si>
  <si>
    <t>Lagerung von Gärsubstraten pflanzlicher Herkunft</t>
  </si>
  <si>
    <t>Stoffstrombilanz (ab sofort)</t>
  </si>
  <si>
    <t>Stoffstrombilanz (ab 2023)</t>
  </si>
  <si>
    <t>(0,25x + 8000)/1000</t>
  </si>
  <si>
    <t>(0,1x + 2400)/1000</t>
  </si>
  <si>
    <t>(0,25x + 5650)/1000</t>
  </si>
  <si>
    <t>Haltungsform</t>
  </si>
  <si>
    <t>Lagerung Grobfutter</t>
  </si>
  <si>
    <t>Nebenernteprodukt</t>
  </si>
  <si>
    <t>Haupternteprodukt</t>
  </si>
  <si>
    <t>Verwertung Haupternteprodukt</t>
  </si>
  <si>
    <t>1. Vorjahr</t>
  </si>
  <si>
    <t>2. Vorjahr</t>
  </si>
  <si>
    <t>3. Vorjahr</t>
  </si>
  <si>
    <t>4. Vorjahr</t>
  </si>
  <si>
    <t>5. Vorjahr</t>
  </si>
  <si>
    <t>Legehennen LG</t>
  </si>
  <si>
    <t>Masthähnchen LG</t>
  </si>
  <si>
    <t>Puten LG</t>
  </si>
  <si>
    <t>Enten LG</t>
  </si>
  <si>
    <t>Gänse LG</t>
  </si>
  <si>
    <t>Kaninchen LG</t>
  </si>
  <si>
    <t>Gehegewild LG</t>
  </si>
  <si>
    <t>Durchschnitt</t>
  </si>
  <si>
    <t>Zufuhr zum Betrieb</t>
  </si>
  <si>
    <t>Abfuhr vom Betrieb</t>
  </si>
  <si>
    <t>pflanzliche Marktprodukte</t>
  </si>
  <si>
    <t>tierische Marktprodukte</t>
  </si>
  <si>
    <t>Lagerbedarf t Festmist              (2 Monate)</t>
  </si>
  <si>
    <t>Lagerbedarf m³ Gülle                       (6 Monate)</t>
  </si>
  <si>
    <t>Lagerbedarf m³ Jauche               (6 Monate)</t>
  </si>
  <si>
    <r>
      <t xml:space="preserve">Festmist </t>
    </r>
    <r>
      <rPr>
        <b/>
        <sz val="9"/>
        <color theme="0" tint="-0.499984740745262"/>
        <rFont val="Calibri"/>
        <family val="2"/>
        <scheme val="minor"/>
      </rPr>
      <t>(&lt;6 kg Einstreu/GV u.Tag).</t>
    </r>
  </si>
  <si>
    <t>Stall und Lagerung</t>
  </si>
  <si>
    <t>Weide-haltung</t>
  </si>
  <si>
    <t xml:space="preserve">Erläuterung zur Einstreumenge                                                              gering: &lt;6 kg Einstreu pro GV u. Tag                                                             mittel: 6-8 kg Einstreu pro GV u. Tag                                                                hoch: &gt; 11 kg Einstreu pro GV u. Tag    </t>
  </si>
  <si>
    <t>Tierkategorie</t>
  </si>
  <si>
    <t>Anzahl Tiere bzw. belegte Plätze</t>
  </si>
  <si>
    <t>Lagerung von Gärresten in Biogasanlagen</t>
  </si>
  <si>
    <t>kg N-Verlust in Stoffstrombilanz</t>
  </si>
  <si>
    <t>kg N-Aufbringungs-verluste</t>
  </si>
  <si>
    <t>kg N-Verluste in Stoffstrombilanz</t>
  </si>
  <si>
    <t>kg Anrechnung in Stoffstrombilanz</t>
  </si>
  <si>
    <t xml:space="preserve">Aufbringungs-verluste </t>
  </si>
  <si>
    <t>kg N-Verluste in Stoffstrobilanz</t>
  </si>
  <si>
    <t>Telefon</t>
  </si>
  <si>
    <t>Tierkategorien</t>
  </si>
  <si>
    <t>kg Nährstoffausscheidung pro Einheit</t>
  </si>
  <si>
    <t>Der Jauche-Lagerbedarf wird bei mittlerer im Vgl. zu niedriger Einstreumenge halbiert. Bei hoher Einstreumenge fällt keine Jauche an</t>
  </si>
  <si>
    <t xml:space="preserve">Aufbringung eigener organ. Düngemittel </t>
  </si>
  <si>
    <t xml:space="preserve">Aufbringung </t>
  </si>
  <si>
    <t xml:space="preserve"> Lagerung von Gärsubstraten planzl. Herkunft</t>
  </si>
  <si>
    <t>kg N-Obergrenze (Gärreste)</t>
  </si>
  <si>
    <t xml:space="preserve">kg/dt </t>
  </si>
  <si>
    <t>In Tabelle "Tierabgang (geschlachtet)" nur etwas eintragen, wenn das Lebendgewicht der Schlachtiere nicht bekannt ist. Die Tabelle sieht nur für wenige Tierarten einen Ausschlachtungsfaktor vor.</t>
  </si>
  <si>
    <t>Haupternte-produkt</t>
  </si>
  <si>
    <t>Grobfutterzukauf</t>
  </si>
  <si>
    <t>dt</t>
  </si>
  <si>
    <t>Kleegras ab Feld, TM</t>
  </si>
  <si>
    <t>Luzernegras ab Feld, TM</t>
  </si>
  <si>
    <t>Zwischenfrüchte ab Feld, TM</t>
  </si>
  <si>
    <t>Küken und Legehennen &lt; halbes Jahr</t>
  </si>
  <si>
    <t>Zuchtschweine, Eber über 50 kg LG</t>
  </si>
  <si>
    <t>Mastschweine über 50 kg LG</t>
  </si>
  <si>
    <t>Schweine unter 50 kg LG</t>
  </si>
  <si>
    <t>Aufnahme von Kompost</t>
  </si>
  <si>
    <t>dt FM /ha</t>
  </si>
  <si>
    <t>TM - Rechner</t>
  </si>
  <si>
    <t>Ackerland (AL)/           Grünland (GL)</t>
  </si>
  <si>
    <t xml:space="preserve"> dt TM/ha</t>
  </si>
  <si>
    <t>Silomais ab Feld, TM</t>
  </si>
  <si>
    <t>Getreide-GPS ab Feld, TM</t>
  </si>
  <si>
    <t>Grünroggen-GPS ab Feld, TM</t>
  </si>
  <si>
    <t>Tierabgänge (lebend oder verendet)</t>
  </si>
  <si>
    <t xml:space="preserve">% TM in der Frischmasse </t>
  </si>
  <si>
    <t>Anzahl Einheiten</t>
  </si>
  <si>
    <r>
      <t xml:space="preserve">Einheitenrechner  </t>
    </r>
    <r>
      <rPr>
        <sz val="11"/>
        <color theme="1"/>
        <rFont val="Calibri"/>
        <family val="2"/>
        <scheme val="minor"/>
      </rPr>
      <t>(z.B für Mais)</t>
    </r>
  </si>
  <si>
    <t>Der "Einheitenrechner"ermittelt das Gewicht des Saatguts</t>
  </si>
  <si>
    <t xml:space="preserve">zulässiger betr.-spezif.   N-Bilanzwert </t>
  </si>
  <si>
    <t xml:space="preserve">kg Nährstoffaufnahme aus Grobfutter </t>
  </si>
  <si>
    <t>kg in Stoffstrombilanz</t>
  </si>
  <si>
    <t xml:space="preserve">Tausend Körner pro Einheit </t>
  </si>
  <si>
    <t>% Ausschlachtung</t>
  </si>
  <si>
    <t>kg Stoffstrombilanz</t>
  </si>
  <si>
    <t>Stoffstrombilanz gemäß Stoffstrombilanzverordnung</t>
  </si>
  <si>
    <t>(0,15x + 6300)/1000</t>
  </si>
  <si>
    <t>t Festmist 6M bis 8000 kg Leistung</t>
  </si>
  <si>
    <t>t Festmist 6M ab 8000 kg Leistung</t>
  </si>
  <si>
    <t>(0,25x + 5500)/1000</t>
  </si>
  <si>
    <t>m³ Gülle 6M</t>
  </si>
  <si>
    <t>m³ Jauche 6M</t>
  </si>
  <si>
    <t>Sicherheitskopie</t>
  </si>
  <si>
    <r>
      <t xml:space="preserve">Kompost 1 </t>
    </r>
    <r>
      <rPr>
        <sz val="12"/>
        <rFont val="Calibri"/>
        <family val="2"/>
        <scheme val="minor"/>
      </rPr>
      <t>(</t>
    </r>
    <r>
      <rPr>
        <sz val="12"/>
        <color rgb="FFFF0000"/>
        <rFont val="Calibri"/>
        <family val="2"/>
        <scheme val="minor"/>
      </rPr>
      <t>eigene Angaben</t>
    </r>
    <r>
      <rPr>
        <sz val="12"/>
        <color theme="1"/>
        <rFont val="Calibri"/>
        <family val="2"/>
        <scheme val="minor"/>
      </rPr>
      <t>)</t>
    </r>
  </si>
  <si>
    <r>
      <t xml:space="preserve">Kompost 2 </t>
    </r>
    <r>
      <rPr>
        <sz val="12"/>
        <rFont val="Calibri"/>
        <family val="2"/>
        <scheme val="minor"/>
      </rPr>
      <t>(</t>
    </r>
    <r>
      <rPr>
        <sz val="12"/>
        <color rgb="FFFF0000"/>
        <rFont val="Calibri"/>
        <family val="2"/>
        <scheme val="minor"/>
      </rPr>
      <t>eigene Angaben</t>
    </r>
    <r>
      <rPr>
        <sz val="12"/>
        <color theme="1"/>
        <rFont val="Calibri"/>
        <family val="2"/>
        <scheme val="minor"/>
      </rPr>
      <t>)</t>
    </r>
  </si>
  <si>
    <r>
      <t xml:space="preserve">Kompost 3 </t>
    </r>
    <r>
      <rPr>
        <sz val="12"/>
        <rFont val="Calibri"/>
        <family val="2"/>
        <scheme val="minor"/>
      </rPr>
      <t>(</t>
    </r>
    <r>
      <rPr>
        <sz val="12"/>
        <color rgb="FFFF0000"/>
        <rFont val="Calibri"/>
        <family val="2"/>
        <scheme val="minor"/>
      </rPr>
      <t>eigene Angaben</t>
    </r>
    <r>
      <rPr>
        <sz val="12"/>
        <color theme="1"/>
        <rFont val="Calibri"/>
        <family val="2"/>
        <scheme val="minor"/>
      </rPr>
      <t>)</t>
    </r>
  </si>
  <si>
    <t>kg N bis 8000 kg</t>
  </si>
  <si>
    <t>kg N ab 8000 kg</t>
  </si>
  <si>
    <r>
      <t>kg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 xml:space="preserve">5  </t>
    </r>
    <r>
      <rPr>
        <sz val="11"/>
        <color theme="1"/>
        <rFont val="Calibri"/>
        <family val="2"/>
        <scheme val="minor"/>
      </rPr>
      <t xml:space="preserve">bis 8000 kg </t>
    </r>
  </si>
  <si>
    <r>
      <t>kg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 xml:space="preserve">5  </t>
    </r>
    <r>
      <rPr>
        <sz val="11"/>
        <color theme="1"/>
        <rFont val="Calibri"/>
        <family val="2"/>
        <scheme val="minor"/>
      </rPr>
      <t xml:space="preserve"> ab 8000 kg </t>
    </r>
  </si>
  <si>
    <r>
      <t>kg K</t>
    </r>
    <r>
      <rPr>
        <vertAlign val="subscript"/>
        <sz val="11"/>
        <color theme="1"/>
        <rFont val="Calibri"/>
        <family val="2"/>
        <scheme val="minor"/>
      </rPr>
      <t>2</t>
    </r>
    <r>
      <rPr>
        <sz val="11"/>
        <color theme="1"/>
        <rFont val="Calibri"/>
        <family val="2"/>
        <scheme val="minor"/>
      </rPr>
      <t>O bis 8000 kg</t>
    </r>
  </si>
  <si>
    <r>
      <t>kg K</t>
    </r>
    <r>
      <rPr>
        <vertAlign val="subscript"/>
        <sz val="11"/>
        <color theme="1"/>
        <rFont val="Calibri"/>
        <family val="2"/>
        <scheme val="minor"/>
      </rPr>
      <t>2</t>
    </r>
    <r>
      <rPr>
        <sz val="11"/>
        <color theme="1"/>
        <rFont val="Calibri"/>
        <family val="2"/>
        <scheme val="minor"/>
      </rPr>
      <t>O ab 8000 kg</t>
    </r>
  </si>
  <si>
    <t>Milchkuh GL mit Weide</t>
  </si>
  <si>
    <t>0,0075x + 69</t>
  </si>
  <si>
    <t>0,007x + 73</t>
  </si>
  <si>
    <t>0,0035x + 15</t>
  </si>
  <si>
    <t>0,002x + 27</t>
  </si>
  <si>
    <t>0,004x + 110</t>
  </si>
  <si>
    <t>Milchkuh GL ohne Weide mit Heu</t>
  </si>
  <si>
    <t>0,0075x + 64</t>
  </si>
  <si>
    <t>0,0085x + 56</t>
  </si>
  <si>
    <t>0,003x + 19</t>
  </si>
  <si>
    <t>0,0025x + 23</t>
  </si>
  <si>
    <t>0,0025x + 114</t>
  </si>
  <si>
    <t>0,0045x + 98</t>
  </si>
  <si>
    <t>Milchkuh AL mit Weide</t>
  </si>
  <si>
    <t>0,007x + 61</t>
  </si>
  <si>
    <t>0,009x + 44,667</t>
  </si>
  <si>
    <t>0,007x + 67</t>
  </si>
  <si>
    <t>0,004x + 91</t>
  </si>
  <si>
    <t>Milchkuh AL ohne Weide mit Heu</t>
  </si>
  <si>
    <t>0,006x + 68</t>
  </si>
  <si>
    <t>0,0045x + 80</t>
  </si>
  <si>
    <t>Milchkuh Ackerfutter (leichte Rassen)</t>
  </si>
  <si>
    <t>0,0075x + 38,5</t>
  </si>
  <si>
    <t>0,01x + 21</t>
  </si>
  <si>
    <t>0,003x + 12</t>
  </si>
  <si>
    <t>0,0045x + 1,5</t>
  </si>
  <si>
    <t>0,0015x + 99</t>
  </si>
  <si>
    <t>0,001x + 103</t>
  </si>
  <si>
    <t>0,0005x + 30</t>
  </si>
  <si>
    <t>0,001x + 26</t>
  </si>
  <si>
    <t>0,002x + 115</t>
  </si>
  <si>
    <t>0,0015x + 119</t>
  </si>
  <si>
    <t>0,0005x + 95</t>
  </si>
  <si>
    <t>0,001x + 91</t>
  </si>
  <si>
    <t>0,0005x + 28</t>
  </si>
  <si>
    <t>0,0005x + 118</t>
  </si>
  <si>
    <t>0,001x + 114</t>
  </si>
  <si>
    <t>0,0035x + 65</t>
  </si>
  <si>
    <t>0,002x + 77</t>
  </si>
  <si>
    <t>0,0015x + 19</t>
  </si>
  <si>
    <t>0,0008x + 25</t>
  </si>
  <si>
    <t>0,004x + 75</t>
  </si>
  <si>
    <t>0,003x + 83</t>
  </si>
  <si>
    <t>0,0035x + 56</t>
  </si>
  <si>
    <t>0,004x + 69</t>
  </si>
  <si>
    <t>0,0028x + 79</t>
  </si>
  <si>
    <t>0,0035x + 50,5</t>
  </si>
  <si>
    <t>0,0025x + 57,5</t>
  </si>
  <si>
    <t>0,0013x + 15,75</t>
  </si>
  <si>
    <t>0,0045x + 55,5</t>
  </si>
  <si>
    <t>0,0025x + 69,5</t>
  </si>
  <si>
    <t>Hier (gelbe Felder) treffen Sie eine Auswahl aus den vorgegebenen Möglichkeiten.</t>
  </si>
  <si>
    <t>Hier (blaue Felder) müssen Sie etwas eintragen, damit die Anwendung rechnen kann!</t>
  </si>
  <si>
    <t>Ammonsulfat-Harnstoff 33</t>
  </si>
  <si>
    <t>Ammonsulfat-Harnstoff 38</t>
  </si>
  <si>
    <t>Ammoniumnitrat m. Schwefel 22</t>
  </si>
  <si>
    <t>Ammoniumnitrat m. Schwefel 24</t>
  </si>
  <si>
    <t>AHL 28 m. NH</t>
  </si>
  <si>
    <t>AHL 25 mit Schwefel</t>
  </si>
  <si>
    <t>AHL 25 m. NH u. Schwefel</t>
  </si>
  <si>
    <t>NP-Dünger 20/20</t>
  </si>
  <si>
    <t>NP-Lösung 10/34</t>
  </si>
  <si>
    <t>60er Kali</t>
  </si>
  <si>
    <t>Korn-Kali 40</t>
  </si>
  <si>
    <t>Patentkali 30/10</t>
  </si>
  <si>
    <r>
      <t xml:space="preserve">Stoffstrombilanz </t>
    </r>
    <r>
      <rPr>
        <sz val="12"/>
        <color theme="1"/>
        <rFont val="Calibri"/>
        <family val="2"/>
        <scheme val="minor"/>
      </rPr>
      <t>(Stoffstrombilanzverordnung)</t>
    </r>
  </si>
  <si>
    <r>
      <t xml:space="preserve">Bezug: </t>
    </r>
    <r>
      <rPr>
        <b/>
        <sz val="11"/>
        <color theme="1"/>
        <rFont val="Calibri"/>
        <family val="2"/>
        <scheme val="minor"/>
      </rPr>
      <t xml:space="preserve">Betrieb als Einheit </t>
    </r>
  </si>
  <si>
    <t>betriebsfremde Wirtschaftdünger</t>
  </si>
  <si>
    <t>Ermittlung Großvieheinheiten (Tab.werte gemäß DüV)</t>
  </si>
  <si>
    <t>Stand bzw. Ausdruck vom</t>
  </si>
  <si>
    <t>kg Milchleistung bei Kühen bzw.                                        g Tageszunahmen bei Mastschweinen</t>
  </si>
  <si>
    <t>Lagerbedarf m³ Gülle + Jauche                  (6 Monate)</t>
  </si>
  <si>
    <t>% TM in der Frischmasse</t>
  </si>
  <si>
    <t>dt Frischmasse-Ertrag</t>
  </si>
  <si>
    <t>dt Trockenmasse-Ertrag</t>
  </si>
  <si>
    <t xml:space="preserve"> % Ziel-TM-Gehalt                                                                                            (z.B. Massenrübe 12 %, Grassilage 35 %)</t>
  </si>
  <si>
    <t>dt Ertrag bei Ziel-TM-Gehalt</t>
  </si>
  <si>
    <t xml:space="preserve">dt/ha Frischmasse-Ertrag </t>
  </si>
  <si>
    <t>dt/ha Trockenmasse-Ertrag</t>
  </si>
  <si>
    <t>dt/ha Ertrag bei Ziel-TM-Gehalt</t>
  </si>
  <si>
    <t>dt/ha bzw. dt Frischmasse-Ertrag</t>
  </si>
  <si>
    <t>dt/ha bzw dt Trockenmasse-Ertrag</t>
  </si>
  <si>
    <t>Vermarktung</t>
  </si>
  <si>
    <t>Verbleib auf Feld</t>
  </si>
  <si>
    <t>Verfütterung Wiederkäuer</t>
  </si>
  <si>
    <t xml:space="preserve">% RP (in TM) (nur Getreide, K`Mais und Leguminosen)                     </t>
  </si>
  <si>
    <t>g Tausendkornmasse</t>
  </si>
  <si>
    <t>kg Milch oder Wolle bzw. Anzahl Eier</t>
  </si>
  <si>
    <t>kg Lebendgewicht/Tier</t>
  </si>
  <si>
    <t>kg Schlachtgewicht/Tier</t>
  </si>
  <si>
    <t>dt FM/ha</t>
  </si>
  <si>
    <t>betriebsfremde Biogassubstrate</t>
  </si>
  <si>
    <t>Weizen 86 % TM,  9 - 16 % RP</t>
  </si>
  <si>
    <t>Roggen 86% TM, 8 - 12 % RP</t>
  </si>
  <si>
    <t>Triticale 86% TM, 8 - 14 % RP</t>
  </si>
  <si>
    <t xml:space="preserve">Wintergerste 86 % TM, 8 - 16 % RP </t>
  </si>
  <si>
    <t>Sommerfuttergerste 86 % TM, 8 - 16 % RP</t>
  </si>
  <si>
    <t>Sommerbraugerste 86 % TM, 8 - 12 % RP</t>
  </si>
  <si>
    <t>Hafer 86 % TM, 9 - 13 % RP</t>
  </si>
  <si>
    <t>Körnermais 86 % TM, 9 - 12 % RP</t>
  </si>
  <si>
    <t>Dinkel 86 % TM, 8 - 16 % RP</t>
  </si>
  <si>
    <t>Durum 86 % TM, 13 - 17 % RP</t>
  </si>
  <si>
    <t>Emmer 86 % TM, 11 - 15 % RP</t>
  </si>
  <si>
    <t>Öllein 91 % TM</t>
  </si>
  <si>
    <t>Senf 91 % TM</t>
  </si>
  <si>
    <t>Kartoffeln 22 % TM</t>
  </si>
  <si>
    <t>Zuckerrüben 23 % TM</t>
  </si>
  <si>
    <t>Gehaltsrüben 15 % TM</t>
  </si>
  <si>
    <t>Massenrüben 12 % TM</t>
  </si>
  <si>
    <t>Tabak (Virgin) 78 % TM</t>
  </si>
  <si>
    <t>Flachs (Faserlein) 86 % TM</t>
  </si>
  <si>
    <t>Miscanthus 80 % TM</t>
  </si>
  <si>
    <t>Hanf 40 % TM</t>
  </si>
  <si>
    <t>Es wird empfohlen eine Orginal-Version dieses Programms und eine Arbeitsversion (mit Jahreszahl!) auf Ihrem PC zu speichern!</t>
  </si>
  <si>
    <t>Anregungen sind willkommen, aber bitte ausschließlich per E-Mail. Und bitte beachten Sie, dass diese Anwendung übersichtlich bleiben soll (und dass wir kein Softwarehaus sind).</t>
  </si>
  <si>
    <t>Wein</t>
  </si>
  <si>
    <t>Most (1 hl = 1 dt)</t>
  </si>
  <si>
    <t>Faserpflanzen</t>
  </si>
  <si>
    <t>Feldgemüse</t>
  </si>
  <si>
    <t>Mosttrub flüssig (1 hl = 1 dt)</t>
  </si>
  <si>
    <t>Erdbeeren 10 % TM</t>
  </si>
  <si>
    <t>Lupinen 86 % TM, 33 % RP</t>
  </si>
  <si>
    <t>Sonnenblumen 91 % TM</t>
  </si>
  <si>
    <t>Erbsen 86 % TM, 26 % RP</t>
  </si>
  <si>
    <t>Sojabohnen 86 % TM, 32 % RP</t>
  </si>
  <si>
    <t>Schafmist 30 % TM</t>
  </si>
  <si>
    <t>Hornspäne 88 % TM</t>
  </si>
  <si>
    <t>Kartoffelschlempe 5 %TM</t>
  </si>
  <si>
    <t>Bioabfall-Kompost 61 % TM</t>
  </si>
  <si>
    <t>Grüngut-Kompost 59 % TM</t>
  </si>
  <si>
    <t>Champignonerde 33 % TM</t>
  </si>
  <si>
    <t>Trester frisch 40 % TM, 1 m³ = 5 dt</t>
  </si>
  <si>
    <t>Trester kompostiert 40 % TM</t>
  </si>
  <si>
    <t>Weinhefe flüssig 20 % TM (1 hl = 1 dt)</t>
  </si>
  <si>
    <t>Weinhefe filtriert 40 % TM (1 hl = 0,7 dt)</t>
  </si>
  <si>
    <t>Rebholz (ca 25 - 50 dt/ha)</t>
  </si>
  <si>
    <t>% N</t>
  </si>
  <si>
    <t>% = kg/dt</t>
  </si>
  <si>
    <r>
      <t>% K</t>
    </r>
    <r>
      <rPr>
        <b/>
        <vertAlign val="subscript"/>
        <sz val="11"/>
        <color theme="1"/>
        <rFont val="Calibri"/>
        <family val="2"/>
        <scheme val="minor"/>
      </rPr>
      <t>2</t>
    </r>
    <r>
      <rPr>
        <b/>
        <sz val="11"/>
        <color theme="1"/>
        <rFont val="Calibri"/>
        <family val="2"/>
        <scheme val="minor"/>
      </rPr>
      <t>O</t>
    </r>
  </si>
  <si>
    <t>Berechnung</t>
  </si>
  <si>
    <t>% RP/6,25</t>
  </si>
  <si>
    <r>
      <t>% P</t>
    </r>
    <r>
      <rPr>
        <b/>
        <vertAlign val="subscript"/>
        <sz val="11"/>
        <color rgb="FF0070C0"/>
        <rFont val="Calibri"/>
        <family val="2"/>
        <scheme val="minor"/>
      </rPr>
      <t>2</t>
    </r>
    <r>
      <rPr>
        <b/>
        <sz val="11"/>
        <color rgb="FF0070C0"/>
        <rFont val="Calibri"/>
        <family val="2"/>
        <scheme val="minor"/>
      </rPr>
      <t>O</t>
    </r>
    <r>
      <rPr>
        <b/>
        <vertAlign val="subscript"/>
        <sz val="11"/>
        <color rgb="FF0070C0"/>
        <rFont val="Calibri"/>
        <family val="2"/>
        <scheme val="minor"/>
      </rPr>
      <t>5</t>
    </r>
  </si>
  <si>
    <r>
      <t>kg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/dt TM = 0,2 + 0,43 * % N - 0,06 * % N²</t>
    </r>
  </si>
  <si>
    <r>
      <t>kg K</t>
    </r>
    <r>
      <rPr>
        <vertAlign val="subscript"/>
        <sz val="11"/>
        <color theme="1"/>
        <rFont val="Calibri"/>
        <family val="2"/>
        <scheme val="minor"/>
      </rPr>
      <t>2</t>
    </r>
    <r>
      <rPr>
        <sz val="11"/>
        <color theme="1"/>
        <rFont val="Calibri"/>
        <family val="2"/>
        <scheme val="minor"/>
      </rPr>
      <t>O/dt TM = 0,24 + 1,57 * % N - 0,22 * % N²</t>
    </r>
  </si>
  <si>
    <t>% Ziel-TM (K`Mais/Getr. 86 %, Raps 91%)</t>
  </si>
  <si>
    <t>Kälberaufz. 16 Wochen bP</t>
  </si>
  <si>
    <t>Rosa-Kalbfleisch 50 - 350 kg bP</t>
  </si>
  <si>
    <t>Kälbermast 50  - 250 kg bP</t>
  </si>
  <si>
    <t>Kälbermast 50 - 260 kg bP</t>
  </si>
  <si>
    <t>Fresseraufz. 80 - 210 kg N-/P-red. bP</t>
  </si>
  <si>
    <t>Bullenmast 45 - 675 kg bP</t>
  </si>
  <si>
    <t>Bullenmast 45 -750 kg bP</t>
  </si>
  <si>
    <t>Bullenmast 80 - 750 kg bP</t>
  </si>
  <si>
    <t>Bullenmast 210 - 750 kg bP</t>
  </si>
  <si>
    <t>Sau + 22 Ferkel 8 kg U-Futter bP</t>
  </si>
  <si>
    <t>Sau + 22 Ferkel 8 kg stark N-P-red. bP</t>
  </si>
  <si>
    <t>Sau + 22 Ferkel 8 kg N-P-red. bP</t>
  </si>
  <si>
    <t>Sau + 25 Ferkel 8 kg U-Futter bP</t>
  </si>
  <si>
    <t>Sau + 25 Ferkel 8 kg N-P-red. bP</t>
  </si>
  <si>
    <t>Sau + 25 Ferkel 8 kg stark N-P-red. bP</t>
  </si>
  <si>
    <t>Sau + 28 Ferkel 8 kg U-Futter bP</t>
  </si>
  <si>
    <t>Sau + 28 Ferkel 8 kg N-P-red. bP</t>
  </si>
  <si>
    <t>Sau + 28 Ferkel 8 kg stark N-P-red. bP</t>
  </si>
  <si>
    <t>Sau + 22 Ferkel 28 kg U-Futter bP</t>
  </si>
  <si>
    <t>Sau + 22 Ferkel 28 kg N-P-red. bP</t>
  </si>
  <si>
    <t>Sau + 22 Ferkel 28 kg stark N-P-red. bP</t>
  </si>
  <si>
    <t>Sau + 25 Ferkel 28 kg U-Futter bP</t>
  </si>
  <si>
    <t>Sau + 25 Ferkel 28 kg N-P-red. bP</t>
  </si>
  <si>
    <t>Sau + 25 Ferkel 28 kg stark N-P-red. bP</t>
  </si>
  <si>
    <t>Sau + 28 Ferkel 28 kg U-Futter bP</t>
  </si>
  <si>
    <t>Sau + 28 Ferkel 28 kg N-P-red. bP</t>
  </si>
  <si>
    <t>Sau + 28 Ferkel 28 kg stark N-P-red. bP</t>
  </si>
  <si>
    <t>Spez. Ferkelaufz. 7 Durchg. U-Futter bP</t>
  </si>
  <si>
    <t>Spez. Ferkelaufz. 7 Durchg. N-P-red. bP</t>
  </si>
  <si>
    <t>Spez. Ferkelaufz. 7 Durchg. stark N-P-red. bP</t>
  </si>
  <si>
    <t>Spezl. Ferkelaufz. 8 Durchg. U-Futter bP</t>
  </si>
  <si>
    <t>Spez. Ferkelaufz. 8 Durchg. N-P-red. bP</t>
  </si>
  <si>
    <t>Spez. Ferkelaufz. 8 Durchg. stark N-P-red. bP</t>
  </si>
  <si>
    <t>Jungsauenaufz. 28 - 115 kg U-Futter bP</t>
  </si>
  <si>
    <t>Jungsauenaufz. 28 - 115 kg N-P-red. bP</t>
  </si>
  <si>
    <t>Jungsaueneingl. 95 - 135 kg U-Futter bP</t>
  </si>
  <si>
    <t>Jungsaueneingl. 95 -135 kg N-P-red. bP</t>
  </si>
  <si>
    <t>Jungebermast 2,7 Durchg. U-Futter bP</t>
  </si>
  <si>
    <t>Hähnchenmast 34 - 38 Tage N-P-red. bP</t>
  </si>
  <si>
    <t>Hähnchenmast 30 - 33 Tage N-P-red. bP</t>
  </si>
  <si>
    <t>Putenmast Hahn 21 Wochen N-P-red.  eT</t>
  </si>
  <si>
    <t>Putenmast Henne 16 Wochen N-P-red.  eT</t>
  </si>
  <si>
    <t xml:space="preserve">Putenmast Hahn 6. - 21. Woche N-P-red.  eT </t>
  </si>
  <si>
    <t>Putenmast Henne 6. - 16. Woche N-P-red.  eT</t>
  </si>
  <si>
    <t>Rinderaufz. GL konv. 0 - 27 Monate bP</t>
  </si>
  <si>
    <t>Rinderaufz. GL ext. 0 - 27 Monate bP</t>
  </si>
  <si>
    <t>Rinderaufz. AL Weide 0 - 27 Monate bP</t>
  </si>
  <si>
    <t>Rinderaufz. AL Stall 0 - 27 Monate bP</t>
  </si>
  <si>
    <t>Mutterkuh 500 kg 6 Monate Säugez. bP</t>
  </si>
  <si>
    <t>Mutterkuh 700 kg 6 Monate Säugez. bP</t>
  </si>
  <si>
    <t>Mutterkuh 700 kg 9 Monate Säugez. bP</t>
  </si>
  <si>
    <t>Mastschwein stark N-P-red. bP</t>
  </si>
  <si>
    <t>Mastschwein N-P-red. bP</t>
  </si>
  <si>
    <t>Mastschwein U-Futter bP</t>
  </si>
  <si>
    <t>Reitpferde 500 - 600 kg Stall bP</t>
  </si>
  <si>
    <t>Reitpferde 500 - 600 kg Stall/Weide bP</t>
  </si>
  <si>
    <t>Kaninchenmast 0,6 - 3 kg bP</t>
  </si>
  <si>
    <t>Standard-Rindergülle 7,5 % TM</t>
  </si>
  <si>
    <t>Standard-Rindermist 25 % TM</t>
  </si>
  <si>
    <t>eigene Rindergülle 7,5 % TM</t>
  </si>
  <si>
    <t>eigener Rindermist 25 % TM</t>
  </si>
  <si>
    <t>Standard-Rinderjauche 2 % TM</t>
  </si>
  <si>
    <t>eigene Rinderjauche 2 % TM</t>
  </si>
  <si>
    <t>Tabelle ist ungeschützt, um eigene Analysenwerte eintragen sowie um Mindestanrechnungen und Verluste von vergleichbaren Düngern übernehmen zu können!</t>
  </si>
  <si>
    <t>Standard-Schweinegülle 5 % TM</t>
  </si>
  <si>
    <t>eigene Schweinegülle 5 % TM</t>
  </si>
  <si>
    <t>Standard-Schweinemist 25 % TM</t>
  </si>
  <si>
    <t>eigener Schweinemist 25 % TM</t>
  </si>
  <si>
    <t>eigener HTK 70 % TM</t>
  </si>
  <si>
    <t>Standard-HTK 40 % TM</t>
  </si>
  <si>
    <t>Standard-HTK 55 % TM</t>
  </si>
  <si>
    <t>Standard-HTK 70 % TM</t>
  </si>
  <si>
    <t>Standard-Geflügelmist 50 % TM</t>
  </si>
  <si>
    <t>eigener Geflügelmist 50 % TM</t>
  </si>
  <si>
    <t>Standard-Pferdemist 30 % TM</t>
  </si>
  <si>
    <t>eigener Pferdemist 30 % TM</t>
  </si>
  <si>
    <t>Standard-Klärschlamm 3,5 % TM</t>
  </si>
  <si>
    <t>Wirtschaftdünger-Zukauf:  Anrechnung abzüglich N-Aufbringungsverluste</t>
  </si>
  <si>
    <r>
      <t>Wirtschaftsdünger 4 (</t>
    </r>
    <r>
      <rPr>
        <sz val="12"/>
        <color rgb="FFFF0000"/>
        <rFont val="Calibri"/>
        <family val="2"/>
        <scheme val="minor"/>
      </rPr>
      <t>eigene Angaben</t>
    </r>
    <r>
      <rPr>
        <sz val="12"/>
        <color theme="1"/>
        <rFont val="Calibri"/>
        <family val="2"/>
        <scheme val="minor"/>
      </rPr>
      <t>)</t>
    </r>
  </si>
  <si>
    <t>NV ("Anrechnungsverluste")</t>
  </si>
  <si>
    <t>%-N-Anrechnung im NV</t>
  </si>
  <si>
    <t>Vorsicht</t>
  </si>
  <si>
    <t>Mit steigender Anzahl der Nutzung steigt auch der Gehalt des Rohproteins im Erntegut. Die Tabelle (gemäß DüV) dient als Orientierung. Reale Werte können abweichen</t>
  </si>
  <si>
    <t>Milchkuh GL ohne Weide , mit Heu</t>
  </si>
  <si>
    <t xml:space="preserve">Milchkuh GL mit Weide </t>
  </si>
  <si>
    <t>Junghennenaufz. 3,5 kg Zuw. U-Futter bP</t>
  </si>
  <si>
    <t>Milchkuh leichte Rasse</t>
  </si>
  <si>
    <t>Fresseraufz. 80 - 210 kg U-Futter bP</t>
  </si>
  <si>
    <t>Legehennenhalt. 17,6 kg Eimasse U-Futter bP</t>
  </si>
  <si>
    <t>Hähnchenmast 39 Tage U-Futter bP</t>
  </si>
  <si>
    <t xml:space="preserve">Hähnchenmast 34 - 38 Tage U-Futter bP </t>
  </si>
  <si>
    <t>Hähnchenmast 30 - 33 Tage U-Futter bP</t>
  </si>
  <si>
    <t>Hähnchenmast bis 29 Tage U-Futter bP</t>
  </si>
  <si>
    <t>Putenmast Hahn 21 Wochen U.Futter eT</t>
  </si>
  <si>
    <t>Putenmast Henne 16 Wochen U-Futter  eT</t>
  </si>
  <si>
    <t>Putenmast Hahn 6. - 21. Woche U-Futter  eT</t>
  </si>
  <si>
    <t>Putenmast Henne 6. - 16. Woche U-Futter  eT</t>
  </si>
  <si>
    <t>Putenmast gem. geschlechtl. U-Futter  eT</t>
  </si>
  <si>
    <t>Putenaufz. bis 5. Woche U-Futter  eT</t>
  </si>
  <si>
    <t>Tabelle ist ungeschützt, um im Ausnahmefall ggf. eigene, nachweisbare Werte eintragen zu können!</t>
  </si>
  <si>
    <t>Grassilage 1.Schnitt (35 % TM)</t>
  </si>
  <si>
    <t>Grassilage 2.Schnitt (35 % TM)</t>
  </si>
  <si>
    <t>Grassilage 3.Schnitt (35 % TM)</t>
  </si>
  <si>
    <t>Landsberger Gemenge (35 % TM)</t>
  </si>
  <si>
    <t>Grünroggensilage (25 % TM)</t>
  </si>
  <si>
    <t>GPS Getreide (35 % TM)</t>
  </si>
  <si>
    <t>Maissilage (30 % TM)</t>
  </si>
  <si>
    <t>Maissilage (35 % TM)</t>
  </si>
  <si>
    <t>Wiesenheu 1. Schnitt früh (86 % TM)</t>
  </si>
  <si>
    <t>Wiesenheu 1. Schnitt spät (86 % TM)</t>
  </si>
  <si>
    <t>Wiesenheu 2. Schnitt früh (86 % TM)</t>
  </si>
  <si>
    <t>Wiesenheu 2. Schnitt spät (86 % TM)</t>
  </si>
  <si>
    <t>Luzernenheu 1.Schnitt (86 % TM)</t>
  </si>
  <si>
    <t>Luzernenheu 2.Schnitt (86 % TM)</t>
  </si>
  <si>
    <t>Milchziege 800 kg + 1,5 Lämmer/Jahr bP</t>
  </si>
  <si>
    <t>Mutterschaf + 1,5 Lämmer/Schaf konv. bP</t>
  </si>
  <si>
    <t>Mutterschaf + 1,1 Lämmer/Schaf ext. bP</t>
  </si>
  <si>
    <t>Damtiere + 0,85 Kalb/Jahr) bP</t>
  </si>
  <si>
    <t>Kaninchen + 52 Jungtiere bis 0,6 kg bP</t>
  </si>
  <si>
    <t>Kaninchen + 52 Jungtiere bis 3 kg bP</t>
  </si>
  <si>
    <t>AHL 28</t>
  </si>
  <si>
    <t>AHL 30</t>
  </si>
  <si>
    <t>AHL 32</t>
  </si>
  <si>
    <t>Harnstoff-Ammonsulfat-Lsg. HAS</t>
  </si>
  <si>
    <t>NP 20/20</t>
  </si>
  <si>
    <t>NPK 15+15+15</t>
  </si>
  <si>
    <t>NPK 13+13+21</t>
  </si>
  <si>
    <t>NPK 20+8+8</t>
  </si>
  <si>
    <t>60er Kaliumchlorid</t>
  </si>
  <si>
    <r>
      <t>Handelsdünger 7 (</t>
    </r>
    <r>
      <rPr>
        <sz val="12"/>
        <color rgb="FFFF0000"/>
        <rFont val="Calibri"/>
        <family val="2"/>
        <scheme val="minor"/>
      </rPr>
      <t>eigene Angaben</t>
    </r>
    <r>
      <rPr>
        <sz val="12"/>
        <color theme="1"/>
        <rFont val="Calibri"/>
        <family val="2"/>
        <scheme val="minor"/>
      </rPr>
      <t>)</t>
    </r>
  </si>
  <si>
    <r>
      <t>Handelsdünger 8 (</t>
    </r>
    <r>
      <rPr>
        <sz val="12"/>
        <color rgb="FFFF0000"/>
        <rFont val="Calibri"/>
        <family val="2"/>
        <scheme val="minor"/>
      </rPr>
      <t>eigene Angaben</t>
    </r>
    <r>
      <rPr>
        <sz val="12"/>
        <color theme="1"/>
        <rFont val="Calibri"/>
        <family val="2"/>
        <scheme val="minor"/>
      </rPr>
      <t>)</t>
    </r>
  </si>
  <si>
    <t>Lieschkolben 50 % TM</t>
  </si>
  <si>
    <t>Corn-Cob-Mix 60 % TM</t>
  </si>
  <si>
    <t>Maiscobs 89 % TM</t>
  </si>
  <si>
    <t>Silphie 28 % TM</t>
  </si>
  <si>
    <t>Igniscum 28 % TM</t>
  </si>
  <si>
    <t>Futterzwischenfrüchte 15 % TM</t>
  </si>
  <si>
    <t>Sonnenblumen (Zitronenreife) 23 % TM</t>
  </si>
  <si>
    <t>Flachs 86 % TM</t>
  </si>
  <si>
    <t>Grassilage 4.,5. Schnitt (35 % TM)</t>
  </si>
  <si>
    <t>Tabelle ist ungeschützt, um eigene Analysenwerte eintragen zu können!</t>
  </si>
  <si>
    <t>Pferde bis 5 Monate LG</t>
  </si>
  <si>
    <t>Pferde 5 - 36 Monate LG</t>
  </si>
  <si>
    <t>dt/ha oder       dt</t>
  </si>
  <si>
    <r>
      <t xml:space="preserve">dt FM                                                                      </t>
    </r>
    <r>
      <rPr>
        <sz val="11"/>
        <color theme="1"/>
        <rFont val="Calibri"/>
        <family val="2"/>
        <scheme val="minor"/>
      </rPr>
      <t>(1 m³ Gülle etc. = 10 dt)</t>
    </r>
  </si>
  <si>
    <r>
      <t xml:space="preserve">dt FM                         </t>
    </r>
    <r>
      <rPr>
        <sz val="11"/>
        <color theme="1"/>
        <rFont val="Calibri"/>
        <family val="2"/>
        <scheme val="minor"/>
      </rPr>
      <t xml:space="preserve">    (1 m³ Gülle etc. = 10 dt)</t>
    </r>
  </si>
  <si>
    <t>Für Geflügel (eine Ausnahme bei Putenmast), Pferde, Schafe, Ziegen und Damwild gibt es keine bzw. keine Daten für Gülle! Tragen Sie dort die Mist- bzw. Weidetage ein</t>
  </si>
  <si>
    <t>Tabak (Burley) 78 % TM</t>
  </si>
  <si>
    <t>Stall/Lagerung Wirtschaftsdünger tierhalt. Betriebe</t>
  </si>
  <si>
    <t>Lagerung Gärsubstrate (pflanzl. Herkunft) in BGA</t>
  </si>
  <si>
    <t>Aufbringung aufgenommene organische Dünger</t>
  </si>
  <si>
    <t>Aufbringung betriebseigene organische Dünger</t>
  </si>
  <si>
    <t>Lagerung von Grobfutter</t>
  </si>
  <si>
    <t>kg betriebsspezifisch zulässiger N-Bilanzwert</t>
  </si>
  <si>
    <t>betriebsspezifisch zulässiger N-Bilanzwert</t>
  </si>
  <si>
    <t>Mineraldünger etc.</t>
  </si>
  <si>
    <r>
      <t>Marktertrag</t>
    </r>
    <r>
      <rPr>
        <sz val="12"/>
        <rFont val="Calibri"/>
        <family val="2"/>
        <scheme val="minor"/>
      </rPr>
      <t xml:space="preserve"> 
(= Feldabfuhr)</t>
    </r>
  </si>
  <si>
    <t>Vorschlag</t>
  </si>
  <si>
    <r>
      <t>P</t>
    </r>
    <r>
      <rPr>
        <vertAlign val="subscript"/>
        <sz val="12"/>
        <rFont val="Calibri"/>
        <family val="2"/>
        <scheme val="minor"/>
      </rPr>
      <t>2</t>
    </r>
    <r>
      <rPr>
        <sz val="12"/>
        <rFont val="Calibri"/>
        <family val="2"/>
        <scheme val="minor"/>
      </rPr>
      <t>O</t>
    </r>
    <r>
      <rPr>
        <vertAlign val="subscript"/>
        <sz val="12"/>
        <rFont val="Calibri"/>
        <family val="2"/>
        <scheme val="minor"/>
      </rPr>
      <t>5</t>
    </r>
  </si>
  <si>
    <r>
      <t>K</t>
    </r>
    <r>
      <rPr>
        <vertAlign val="subscript"/>
        <sz val="12"/>
        <rFont val="Calibri"/>
        <family val="2"/>
        <scheme val="minor"/>
      </rPr>
      <t>2</t>
    </r>
    <r>
      <rPr>
        <sz val="12"/>
        <rFont val="Calibri"/>
        <family val="2"/>
        <scheme val="minor"/>
      </rPr>
      <t>O</t>
    </r>
  </si>
  <si>
    <t>Artischocke</t>
  </si>
  <si>
    <t>Buschbohne</t>
  </si>
  <si>
    <t>Chicoree-Rüben</t>
  </si>
  <si>
    <t>Chinakohl</t>
  </si>
  <si>
    <t>Dicke Bohne, Korn</t>
  </si>
  <si>
    <t>Erbsen (Gemüseerbse)</t>
  </si>
  <si>
    <t>Feldsalat</t>
  </si>
  <si>
    <t>Feldsalat, großblättrig</t>
  </si>
  <si>
    <t>Grünkohl</t>
  </si>
  <si>
    <t>Gurke, Einleger</t>
  </si>
  <si>
    <t>Knoblauch, trocken</t>
  </si>
  <si>
    <t>Knollenfenchel</t>
  </si>
  <si>
    <t>Kohlrabi</t>
  </si>
  <si>
    <t>Kohlrübe</t>
  </si>
  <si>
    <t>Kürbis</t>
  </si>
  <si>
    <t>Mairübe mit Laub</t>
  </si>
  <si>
    <t>Meerrettich</t>
  </si>
  <si>
    <t>Melone, Wasser-</t>
  </si>
  <si>
    <t>Melone, Zucker- u.a.</t>
  </si>
  <si>
    <t>Möhre, Bund</t>
  </si>
  <si>
    <t>Möhre, Wasch</t>
  </si>
  <si>
    <t>Möhre. Industrie</t>
  </si>
  <si>
    <t>Paprika</t>
  </si>
  <si>
    <t>Pastinake</t>
  </si>
  <si>
    <t>Petersilie, Wurzel-</t>
  </si>
  <si>
    <t>Porree (Lauch)</t>
  </si>
  <si>
    <t>Radieschen</t>
  </si>
  <si>
    <t xml:space="preserve">Rettich, Bund </t>
  </si>
  <si>
    <t>Rettich, deutsch</t>
  </si>
  <si>
    <t>Rettich, japanisch</t>
  </si>
  <si>
    <t>Rhabarber, 1. Standjahr (Pflanzjahr), 10.000 Pfl./ha</t>
  </si>
  <si>
    <t>Rhabarber, 2. Standjahr, 10.000 Pfl./ha</t>
  </si>
  <si>
    <t>Rhabarber, 3. Standjahr, 10.000 Pfl./ha</t>
  </si>
  <si>
    <t>Rhabarber, ab 4. Standjahr, 10.000 Pfl./ha</t>
  </si>
  <si>
    <t>Rote Rübe, Bund</t>
  </si>
  <si>
    <t>Rotkohl</t>
  </si>
  <si>
    <t>Rucola, Feinware, alle Kulturverfahren</t>
  </si>
  <si>
    <t>Rucola, Grobware, alle Kulturverfahren</t>
  </si>
  <si>
    <t>Salate, Baby Leaf</t>
  </si>
  <si>
    <t>Salate, Blatt grün (Lollo, Eichblatt, Krull)</t>
  </si>
  <si>
    <t>Salate, Blatt rot (Lollo, Eichblatt, Krull)</t>
  </si>
  <si>
    <t>Salate, Eissalat</t>
  </si>
  <si>
    <t>Salate, Endivien, Frisee</t>
  </si>
  <si>
    <t>Salate, Endivien, glattblättrig</t>
  </si>
  <si>
    <t>Salate, Kopfsalat</t>
  </si>
  <si>
    <t>Salate, Radicchio</t>
  </si>
  <si>
    <t>Salate, verschiedene Arten</t>
  </si>
  <si>
    <t>Salate, Romana</t>
  </si>
  <si>
    <t>Salate, Romana, Herzen-</t>
  </si>
  <si>
    <t>Salate, Zuckerhut</t>
  </si>
  <si>
    <t>Schwarzwurzel</t>
  </si>
  <si>
    <t>Sellerie, Bund-</t>
  </si>
  <si>
    <t>Sellerie, Knollen-</t>
  </si>
  <si>
    <t>Sellerie, Stangen-</t>
  </si>
  <si>
    <r>
      <t xml:space="preserve">Spargel, 1. Standjahr </t>
    </r>
    <r>
      <rPr>
        <u/>
        <sz val="12"/>
        <rFont val="Calibri"/>
        <family val="2"/>
        <scheme val="minor"/>
      </rPr>
      <t>(Pflanzjahr),</t>
    </r>
    <r>
      <rPr>
        <sz val="12"/>
        <rFont val="Calibri"/>
        <family val="2"/>
        <scheme val="minor"/>
      </rPr>
      <t xml:space="preserve"> ≥20.000 Pfl./ha</t>
    </r>
  </si>
  <si>
    <r>
      <t xml:space="preserve">Spargel, 2. Standjahr, ≥20.000 Pfl./ha, </t>
    </r>
    <r>
      <rPr>
        <u/>
        <sz val="12"/>
        <rFont val="Calibri"/>
        <family val="2"/>
        <scheme val="minor"/>
      </rPr>
      <t>ohne</t>
    </r>
    <r>
      <rPr>
        <sz val="12"/>
        <rFont val="Calibri"/>
        <family val="2"/>
        <scheme val="minor"/>
      </rPr>
      <t xml:space="preserve"> Ernte</t>
    </r>
  </si>
  <si>
    <r>
      <t xml:space="preserve">Spargel, 2. Standjahr, ≥20.000 Pfl./ha, </t>
    </r>
    <r>
      <rPr>
        <u/>
        <sz val="12"/>
        <rFont val="Calibri"/>
        <family val="2"/>
        <scheme val="minor"/>
      </rPr>
      <t>mit</t>
    </r>
    <r>
      <rPr>
        <sz val="12"/>
        <rFont val="Calibri"/>
        <family val="2"/>
        <scheme val="minor"/>
      </rPr>
      <t xml:space="preserve"> Ernte</t>
    </r>
  </si>
  <si>
    <t>Spargel, 3. Standjahr, ≥20.000 Pfl./ha</t>
  </si>
  <si>
    <t>Spargel,  4. Standjahr, ≥20.000 Pfl./ha</t>
  </si>
  <si>
    <t>Spargel,  5. Standjahr, ≥20.000 Pfl./ha</t>
  </si>
  <si>
    <t>Spargel,  6. Standjahr, ≥20.000 Pfl./ha</t>
  </si>
  <si>
    <t>Spargel,  7. Standjahr, ≥20.000 Pfl./ha</t>
  </si>
  <si>
    <t>Spargel,  8. Standjahr, ≥20.000 Pfl./ha</t>
  </si>
  <si>
    <t>Spargel,  9. Standjahr, ≥20.000 Pfl./ha</t>
  </si>
  <si>
    <t>Spargel,  10. Standjahr, ≥20.000 Pfl./ha</t>
  </si>
  <si>
    <t>Spargel,  Umbruchjahr, ≥20.000 Pfl./ha</t>
  </si>
  <si>
    <t>Spinat, Blatt-, Frischmarkt, Babyleaf</t>
  </si>
  <si>
    <t>Spinat, Blatt-, Standard</t>
  </si>
  <si>
    <t>Spinat, Hack-, Standard</t>
  </si>
  <si>
    <t xml:space="preserve">Stangenbohne </t>
  </si>
  <si>
    <t>Teltower Rübchen (Herbstanbau)</t>
  </si>
  <si>
    <t>Weißkohl, Frischmarkt (inkl. spitz, flach)</t>
  </si>
  <si>
    <t>Weißkohl, Industrie (inkl. spitz, flach)</t>
  </si>
  <si>
    <t>Wirsing</t>
  </si>
  <si>
    <t>Zucchini</t>
  </si>
  <si>
    <t>Zuckermais</t>
  </si>
  <si>
    <t>Zwiebel, Bund</t>
  </si>
  <si>
    <t>Zwiebel, Trocken</t>
  </si>
  <si>
    <r>
      <t xml:space="preserve">Nährstofffestlegung Dauerkulturen 
</t>
    </r>
    <r>
      <rPr>
        <sz val="10"/>
        <rFont val="Calibri"/>
        <family val="2"/>
      </rPr>
      <t xml:space="preserve">(Freisetzung nach Umbruch) </t>
    </r>
  </si>
  <si>
    <t>kg/ha und Jahr</t>
  </si>
  <si>
    <t>Hopfen-Dolden 90 % TM</t>
  </si>
  <si>
    <t>Rebenhäcksel</t>
  </si>
  <si>
    <t>Hopfen-Rebenhäcksel 27 % TM</t>
  </si>
  <si>
    <t>Topinambur-Knollen 21 % TM</t>
  </si>
  <si>
    <t>Wein (1 hl = 1 dt) / Schlempe ohne Hefe</t>
  </si>
  <si>
    <t>kg N-Bindung/dt Leg.-TM</t>
  </si>
  <si>
    <t>http://gis.uba.de/website/depo1/</t>
  </si>
  <si>
    <t>Grassamen 86 % TM</t>
  </si>
  <si>
    <t>Klee-, Luzernesamen 91 % TM</t>
  </si>
  <si>
    <t>nur Samen</t>
  </si>
  <si>
    <t xml:space="preserve">% RP in TM                   (bei Feldgras und Grünland) </t>
  </si>
  <si>
    <t>Restpflanze</t>
  </si>
  <si>
    <r>
      <t>Berechnung der 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 xml:space="preserve">5- </t>
    </r>
    <r>
      <rPr>
        <b/>
        <sz val="11"/>
        <color theme="1"/>
        <rFont val="Calibri"/>
        <family val="2"/>
        <scheme val="minor"/>
      </rPr>
      <t>und K</t>
    </r>
    <r>
      <rPr>
        <b/>
        <vertAlign val="subscript"/>
        <sz val="11"/>
        <color theme="1"/>
        <rFont val="Calibri"/>
        <family val="2"/>
        <scheme val="minor"/>
      </rPr>
      <t>2</t>
    </r>
    <r>
      <rPr>
        <b/>
        <sz val="11"/>
        <color theme="1"/>
        <rFont val="Calibri"/>
        <family val="2"/>
        <scheme val="minor"/>
      </rPr>
      <t>O-Gehalte bei Feldgras/Grünland-TM in Abhängigkeit vom N-Gehalt</t>
    </r>
  </si>
  <si>
    <t>% Leguminosen im Aufwuchs von Leguminosenmischungen und Rebflächenbegrünungen</t>
  </si>
  <si>
    <t>Zwiebeln FM</t>
  </si>
  <si>
    <t>Spargel FM</t>
  </si>
  <si>
    <t>Speisekürbisse FM</t>
  </si>
  <si>
    <t>Raps 91 % TM</t>
  </si>
  <si>
    <t>Trauben / Maische</t>
  </si>
  <si>
    <t>Getreide-GPS TM</t>
  </si>
  <si>
    <t>Silomais TM</t>
  </si>
  <si>
    <t>Sudangras (Teigreife) TM</t>
  </si>
  <si>
    <t>Klee (Reinbestand) TM</t>
  </si>
  <si>
    <t>Kleegras TM</t>
  </si>
  <si>
    <t>Luzerne (Reinbestand) TM</t>
  </si>
  <si>
    <t>Luzernegras TM</t>
  </si>
  <si>
    <t>Feldgras TM</t>
  </si>
  <si>
    <t>Erbsen/Ackerbohnen/Wicken TM</t>
  </si>
  <si>
    <t>Raps Rübsen Senf Ölrettich SoBlumen TM</t>
  </si>
  <si>
    <t>Phacelia TM</t>
  </si>
  <si>
    <t>Grassamenheu TM</t>
  </si>
  <si>
    <t>Klee-/Luzernesamenheu TM</t>
  </si>
  <si>
    <t>Getreide-GPS (Milch-/Teigreife) TM</t>
  </si>
  <si>
    <t>Grünland TM</t>
  </si>
  <si>
    <t>Vermehrung</t>
  </si>
  <si>
    <t>Gehaltsrüben + Blatt 15 % TM</t>
  </si>
  <si>
    <t>Massenrüben + Blatt 12 % TM</t>
  </si>
  <si>
    <t>Sonnenblumen / Mais 28 % TM</t>
  </si>
  <si>
    <t>Roggenstroh 86 % TM</t>
  </si>
  <si>
    <t>Triticalestroh 86 % TM</t>
  </si>
  <si>
    <t>Haferstroh 86 % TM</t>
  </si>
  <si>
    <t>Körnermaisstroh 86 % TM</t>
  </si>
  <si>
    <t>Wintergerste 86 % TM</t>
  </si>
  <si>
    <t>Roggen 86 % TM</t>
  </si>
  <si>
    <t>Wintertriticale 86 % TM</t>
  </si>
  <si>
    <t>Sommerfuttergerste 86 %</t>
  </si>
  <si>
    <t>Braugerste 86 % TM</t>
  </si>
  <si>
    <t>Hafer 86 % TM</t>
  </si>
  <si>
    <t>Körnermais 86 % TM</t>
  </si>
  <si>
    <t>Dinkel  86 % TM</t>
  </si>
  <si>
    <t>Durum 86 % TM</t>
  </si>
  <si>
    <t>Emmer 86 % TM</t>
  </si>
  <si>
    <t>Erbsen 86 % TM; ca. 26 % RP</t>
  </si>
  <si>
    <t xml:space="preserve">Ackerbohnen 86 % TM; ca. 30 % RP                                      </t>
  </si>
  <si>
    <t>Lupinen 86 % TM; ca. 33 % RP</t>
  </si>
  <si>
    <t>Sojabohnen 86 % TM; ca. 32 % RP</t>
  </si>
  <si>
    <t>Melasseschnitzel 91 % TM</t>
  </si>
  <si>
    <t>Pressschnitzel siliert 27 % TM</t>
  </si>
  <si>
    <t>Trockenschnitzel 90 % TM</t>
  </si>
  <si>
    <t>Aufwuchs Grünland TM</t>
  </si>
  <si>
    <t xml:space="preserve"> Lagerung von Gärsubstraten (pflanzl. Herkunft) </t>
  </si>
  <si>
    <t>Haarmehlpellets 94 % TM</t>
  </si>
  <si>
    <t>Fleischknochenmehl 92 % TM</t>
  </si>
  <si>
    <t>Ackerbohnenschrot 88 % TM</t>
  </si>
  <si>
    <t>Vinasse 66 % TM</t>
  </si>
  <si>
    <t>Maltaflor 93 % TM</t>
  </si>
  <si>
    <t>Corn-Cob-Mix TM</t>
  </si>
  <si>
    <t>Kolben</t>
  </si>
  <si>
    <t>Silphie TM</t>
  </si>
  <si>
    <t>Igniscum TM</t>
  </si>
  <si>
    <t>Feldgras ab Feld, TM</t>
  </si>
  <si>
    <t>Altbrot 65 % TM</t>
  </si>
  <si>
    <t>Apfeltrester 22 % TM</t>
  </si>
  <si>
    <t>Bierhefe flüssig 10 % TM</t>
  </si>
  <si>
    <t>Biertreber siliert 25 % TM</t>
  </si>
  <si>
    <t>Fischmehl 91 % TM</t>
  </si>
  <si>
    <t>Getreideschlempe 92 % TM</t>
  </si>
  <si>
    <t>Haferschälkleie 90 % TM</t>
  </si>
  <si>
    <t>Kartoffelpülpe siliert 18 % TM</t>
  </si>
  <si>
    <t>Kartoffelschlempe, frisch 5,5 % TM</t>
  </si>
  <si>
    <t>Leinextraktionsschrot 89 % TM</t>
  </si>
  <si>
    <t>Leinkuchen 90 % TM</t>
  </si>
  <si>
    <t>Magermilch, frisch 8,5 % TM</t>
  </si>
  <si>
    <t>Maiskleberfutter 90 % TM</t>
  </si>
  <si>
    <t>Malzkeime 92 % TM</t>
  </si>
  <si>
    <t xml:space="preserve"> kg/t</t>
  </si>
  <si>
    <t>kg / dt</t>
  </si>
  <si>
    <t>CCM 60 % TM</t>
  </si>
  <si>
    <t>Maniok 88 % TM</t>
  </si>
  <si>
    <t>Molke Permeat 5 % TM</t>
  </si>
  <si>
    <t>Rapskuchen fettarm 90 % TM</t>
  </si>
  <si>
    <t>Roggenkleie 88 % TM</t>
  </si>
  <si>
    <t>Rübenkleinteile 17 % TM</t>
  </si>
  <si>
    <t>Sojaextraktionsschrot 48 % RP, 88 % TM</t>
  </si>
  <si>
    <t>Sojaextraktionsschrot 44 % RP, 88 % TM</t>
  </si>
  <si>
    <t>Sonnenblumenextraktionsschrot 89 % TM</t>
  </si>
  <si>
    <t>Weizengrießkleie 88 % TM</t>
  </si>
  <si>
    <t>Weizennachmehl 87 % TM</t>
  </si>
  <si>
    <t>Weizenkleie 88 % TM</t>
  </si>
  <si>
    <t>Zuckerrübenmelasse 78 % TM</t>
  </si>
  <si>
    <t>Vollmilch 13,5 % TM</t>
  </si>
  <si>
    <t>Milchaustauscher 15 % XL, 94 % TM</t>
  </si>
  <si>
    <t>Milchaustauscher 20 % XL Mast, 94 % TM</t>
  </si>
  <si>
    <t>Kälberaufzuchtfutter 18 % RP, 88 % TM</t>
  </si>
  <si>
    <t>Kälberaufzuchtfutter 24% RP, 88 % TM</t>
  </si>
  <si>
    <t>Milchleistungsfutter 16 / 3,  88 % TM</t>
  </si>
  <si>
    <t>Rindermastfutter 23 / 3,  88 % TM</t>
  </si>
  <si>
    <t>Schaffutter 18 /3,  88 % TM</t>
  </si>
  <si>
    <t>Mineralfutter 2 % P, 95 % TM</t>
  </si>
  <si>
    <t>Mineralfutter 3 % P, 95 % TM</t>
  </si>
  <si>
    <t>Mineralfutter 5 % P, 95 % TM</t>
  </si>
  <si>
    <t>Molke 6 % TM</t>
  </si>
  <si>
    <t>Weizen 86 % TM</t>
  </si>
  <si>
    <t>SoGerste-Hafer Gemenge 86 % TM</t>
  </si>
  <si>
    <t xml:space="preserve">Ackerbohnen 86 % TM; ca. 30 % RP                         </t>
  </si>
  <si>
    <t>Grassilage 3. Schnitt (35 % TM)</t>
  </si>
  <si>
    <t>Grassilage 1. Schnitt (35 % TM)</t>
  </si>
  <si>
    <t>Grassilage 2. Schnitt (35 % TM)</t>
  </si>
  <si>
    <t>Luzernenheu 1. Schnitt (86 % TM)</t>
  </si>
  <si>
    <t>Luzernenheu 2. Schnitt (86 % TM)</t>
  </si>
  <si>
    <t>Sommerfuttergerste 86 % TM</t>
  </si>
  <si>
    <t>SoGerste-Hafer-Gemenge 86 % TM</t>
  </si>
  <si>
    <t>kg N-Saldo                                            pro Betrieb</t>
  </si>
  <si>
    <t>kg N-Saldo                              pro ha</t>
  </si>
  <si>
    <r>
      <t xml:space="preserve">N-Salden in kg pro ha und pro Betrieb sowie </t>
    </r>
    <r>
      <rPr>
        <b/>
        <sz val="11"/>
        <color theme="8"/>
        <rFont val="Calibri"/>
        <family val="2"/>
        <scheme val="minor"/>
      </rPr>
      <t>zulässige betriebsspezifische N-Bilanzwerte in kg pro Betrieb</t>
    </r>
    <r>
      <rPr>
        <sz val="11"/>
        <color theme="1"/>
        <rFont val="Calibri"/>
        <family val="2"/>
        <scheme val="minor"/>
      </rPr>
      <t xml:space="preserve"> der </t>
    </r>
    <r>
      <rPr>
        <b/>
        <sz val="11"/>
        <color theme="1"/>
        <rFont val="Calibri"/>
        <family val="2"/>
        <scheme val="minor"/>
      </rPr>
      <t>Stoffstrombilanzen</t>
    </r>
    <r>
      <rPr>
        <sz val="11"/>
        <color theme="1"/>
        <rFont val="Calibri"/>
        <family val="2"/>
        <scheme val="minor"/>
      </rPr>
      <t xml:space="preserve"> aus den letzten beiden Jahren </t>
    </r>
  </si>
  <si>
    <t>N-Saldo kg/Betrieb</t>
  </si>
  <si>
    <t>N-Saldo kg/ha</t>
  </si>
  <si>
    <t>% Leguminosen im Aufwuchs von Kleegras, Luzernegras, Getr.-Legum.-GPS und Grünland</t>
  </si>
  <si>
    <r>
      <t xml:space="preserve">Bitte beachten Sie die </t>
    </r>
    <r>
      <rPr>
        <b/>
        <sz val="11"/>
        <color rgb="FFFF0000"/>
        <rFont val="Calibri"/>
        <family val="2"/>
        <scheme val="minor"/>
      </rPr>
      <t>roten Dreiecke</t>
    </r>
    <r>
      <rPr>
        <sz val="11"/>
        <color theme="1"/>
        <rFont val="Calibri"/>
        <family val="2"/>
        <scheme val="minor"/>
      </rPr>
      <t xml:space="preserve"> (wie in diesem Feld) in der oberen rechten Ecke. Dies sind Kommmentare zu den jeweiligen Feldern, die den Inhalt des Feldes genauer erläutern sollen.</t>
    </r>
  </si>
  <si>
    <t xml:space="preserve"> kg N-Bindung</t>
  </si>
  <si>
    <t>Ackerbohnen 86 % TM, 30 % RP</t>
  </si>
  <si>
    <r>
      <t xml:space="preserve">Grobfutterzu- und verkauf </t>
    </r>
    <r>
      <rPr>
        <sz val="12"/>
        <color theme="1"/>
        <rFont val="Calibri"/>
        <family val="2"/>
        <scheme val="minor"/>
      </rPr>
      <t>(nur für tierhaltende Betriebe)</t>
    </r>
  </si>
  <si>
    <t>Handelsdünger (mineral., organ.)</t>
  </si>
  <si>
    <t>SoGerste-Hafer-Gem. 86 % TM, 9 - 13 % RP</t>
  </si>
  <si>
    <t>Rebfl.-Begrün., jede 2. Gasse (ca. 10 dt TM/ha)</t>
  </si>
  <si>
    <t>Rebfl.-Begrün., jede Gasse (ca. 20 dt TM/ha)</t>
  </si>
  <si>
    <t>Rebfl.-Begrün., ganzflächig (ca. 25 dt TM/ha)</t>
  </si>
  <si>
    <t>Getreide-Legum.-GPS (Milch-/Teigreife) TM</t>
  </si>
  <si>
    <t>Zwischenfruchtmischung (auch mit Legum.) TM</t>
  </si>
  <si>
    <t>Getreide-25-%-Legum.-Gemenge 86 % TM</t>
  </si>
  <si>
    <t>Getreide-33-%-Legum.-Gemenge 86 % TM</t>
  </si>
  <si>
    <t>LG</t>
  </si>
  <si>
    <t>Ra</t>
  </si>
  <si>
    <t>Sb</t>
  </si>
  <si>
    <t>Öl</t>
  </si>
  <si>
    <t>Se</t>
  </si>
  <si>
    <t>Ka</t>
  </si>
  <si>
    <t>Zr</t>
  </si>
  <si>
    <t>Gr</t>
  </si>
  <si>
    <t>Mr</t>
  </si>
  <si>
    <t>Mo</t>
  </si>
  <si>
    <t>Tr</t>
  </si>
  <si>
    <t>We</t>
  </si>
  <si>
    <t>HoDo</t>
  </si>
  <si>
    <t>HoRe</t>
  </si>
  <si>
    <t>TB</t>
  </si>
  <si>
    <t>TV</t>
  </si>
  <si>
    <t>TK</t>
  </si>
  <si>
    <t>Zw</t>
  </si>
  <si>
    <t>Sp</t>
  </si>
  <si>
    <t>SK</t>
  </si>
  <si>
    <t>Eb</t>
  </si>
  <si>
    <t>Fl</t>
  </si>
  <si>
    <t>Ha</t>
  </si>
  <si>
    <t>Mi</t>
  </si>
  <si>
    <t>xx</t>
  </si>
  <si>
    <t>GPS</t>
  </si>
  <si>
    <t>SM</t>
  </si>
  <si>
    <t>CCM</t>
  </si>
  <si>
    <t>Su</t>
  </si>
  <si>
    <t>Si</t>
  </si>
  <si>
    <t>Ig</t>
  </si>
  <si>
    <t>Kl</t>
  </si>
  <si>
    <t>KlGr</t>
  </si>
  <si>
    <t>FG</t>
  </si>
  <si>
    <t>KL</t>
  </si>
  <si>
    <t>RR</t>
  </si>
  <si>
    <t>Ph</t>
  </si>
  <si>
    <t>GS</t>
  </si>
  <si>
    <t>GSH</t>
  </si>
  <si>
    <t>KS</t>
  </si>
  <si>
    <t>KSH</t>
  </si>
  <si>
    <t>xxx</t>
  </si>
  <si>
    <t>Milchleistungsfutter 18 / 3,  88 % TM</t>
  </si>
  <si>
    <t>Gerstenstroh 86 % TM</t>
  </si>
  <si>
    <t>Weizen-Dinkelstroh 86 % TM</t>
  </si>
  <si>
    <t>Gerstenstroh</t>
  </si>
  <si>
    <t>Weizen-/Dinkelstroh</t>
  </si>
  <si>
    <t>Ackerbohnen 86 % TM, ca. 30 % RP</t>
  </si>
  <si>
    <t>Erbsen 86 % TM, ca. 26 % RP</t>
  </si>
  <si>
    <t>Lupinen 86 % TM, ca. 33 % RP</t>
  </si>
  <si>
    <t>Sojabohnen 86 % TM, ca. 32 % RP</t>
  </si>
  <si>
    <t>RP/6,25</t>
  </si>
  <si>
    <t>Berechn.</t>
  </si>
  <si>
    <t>Wz</t>
  </si>
  <si>
    <t>KLeg</t>
  </si>
  <si>
    <t>Abr</t>
  </si>
  <si>
    <t>MS</t>
  </si>
  <si>
    <t>PS</t>
  </si>
  <si>
    <t>TS</t>
  </si>
  <si>
    <t>GR</t>
  </si>
  <si>
    <t>Kg</t>
  </si>
  <si>
    <t>Lu</t>
  </si>
  <si>
    <t>Lg</t>
  </si>
  <si>
    <t>Klg</t>
  </si>
  <si>
    <t>Lug</t>
  </si>
  <si>
    <t xml:space="preserve">% RP (in TM) ( Getreide, K´Mais, K'Leguminosen, Feldgras und Grünland)                     </t>
  </si>
  <si>
    <t xml:space="preserve">% RP in TM (bei Getreide, K'Mais und K'Leguminosen)                     </t>
  </si>
  <si>
    <r>
      <t>Verwertung Nebenernteprodukt (Stroh etc.);</t>
    </r>
    <r>
      <rPr>
        <sz val="11"/>
        <color theme="1"/>
        <rFont val="Calibri"/>
        <family val="2"/>
        <scheme val="minor"/>
      </rPr>
      <t xml:space="preserve"> nur bei Getr., K'Leg., Ölpfl., Hackfr. (ansonsten: "Verbleib...")</t>
    </r>
  </si>
  <si>
    <t>LK</t>
  </si>
  <si>
    <t>MC</t>
  </si>
  <si>
    <t>GRB</t>
  </si>
  <si>
    <t>MR</t>
  </si>
  <si>
    <t>MRB</t>
  </si>
  <si>
    <t>ZR</t>
  </si>
  <si>
    <t>FZF</t>
  </si>
  <si>
    <t>SbMa</t>
  </si>
  <si>
    <t>GS2</t>
  </si>
  <si>
    <t>GS1</t>
  </si>
  <si>
    <t>GS3</t>
  </si>
  <si>
    <t>GS4</t>
  </si>
  <si>
    <t>GRS</t>
  </si>
  <si>
    <t>GPS35</t>
  </si>
  <si>
    <t>MS30</t>
  </si>
  <si>
    <t>MS35</t>
  </si>
  <si>
    <t>WH1</t>
  </si>
  <si>
    <t>WH2</t>
  </si>
  <si>
    <t>WH3</t>
  </si>
  <si>
    <t>WH4</t>
  </si>
  <si>
    <t>LH1</t>
  </si>
  <si>
    <t>LH2</t>
  </si>
  <si>
    <t>WS</t>
  </si>
  <si>
    <t>RS</t>
  </si>
  <si>
    <t>HS</t>
  </si>
  <si>
    <t>KMS</t>
  </si>
  <si>
    <t>Grobfutterverl. %</t>
  </si>
  <si>
    <t>Grünlandaufw. ab Feld, TM</t>
  </si>
  <si>
    <t xml:space="preserve"> % RP in TM bei "Grünlandaufw. ab Feld, TM" und "Feldgras ab Feld, TM"</t>
  </si>
  <si>
    <t>x</t>
  </si>
  <si>
    <t>Milchleistungsfutter 20 / 4, 88 % TM</t>
  </si>
  <si>
    <t>Ziegenmilch</t>
  </si>
  <si>
    <t>g/Ei bzw. % RP der Kuhmilch oder Ziegenmilch</t>
  </si>
  <si>
    <t>unvermeidbare Stickstoffverluste im Stall und bei der Lagerung in %</t>
  </si>
  <si>
    <r>
      <t>Verwertung der Wirtschaftsdünger</t>
    </r>
    <r>
      <rPr>
        <sz val="11"/>
        <color theme="1"/>
        <rFont val="Calibri"/>
        <family val="2"/>
        <scheme val="minor"/>
      </rPr>
      <t xml:space="preserve"> (ausgenommen sind die Tage mit Weidegang)</t>
    </r>
  </si>
  <si>
    <t>Getreide GPS (Milch- / Teigreife) TM</t>
  </si>
  <si>
    <t>Grünroggen GPS (vor Ährenschieben) TM</t>
  </si>
  <si>
    <t>05432 987654</t>
  </si>
  <si>
    <t>Nährstoffzufuhr</t>
  </si>
  <si>
    <t>Nährstoffabfuhr</t>
  </si>
  <si>
    <t>Berechnung Nährstoffsaldo</t>
  </si>
  <si>
    <t>N-Verluste</t>
  </si>
  <si>
    <t>Dreijährige Stoffstrombilanz</t>
  </si>
  <si>
    <r>
      <t>Gärrest flüssig 1 (</t>
    </r>
    <r>
      <rPr>
        <sz val="12"/>
        <color rgb="FFFF0000"/>
        <rFont val="Calibri"/>
        <family val="2"/>
        <scheme val="minor"/>
      </rPr>
      <t>eigene Angaben</t>
    </r>
    <r>
      <rPr>
        <sz val="12"/>
        <rFont val="Calibri"/>
        <family val="2"/>
        <scheme val="minor"/>
      </rPr>
      <t>)</t>
    </r>
  </si>
  <si>
    <r>
      <t>Gärrest flüssig 3 (</t>
    </r>
    <r>
      <rPr>
        <sz val="12"/>
        <color rgb="FFFF0000"/>
        <rFont val="Calibri"/>
        <family val="2"/>
        <scheme val="minor"/>
      </rPr>
      <t>eigene Angaben</t>
    </r>
    <r>
      <rPr>
        <sz val="12"/>
        <rFont val="Calibri"/>
        <family val="2"/>
        <scheme val="minor"/>
      </rPr>
      <t>)</t>
    </r>
  </si>
  <si>
    <r>
      <t>Gärrest flüssig 2 (</t>
    </r>
    <r>
      <rPr>
        <sz val="12"/>
        <color rgb="FFFF0000"/>
        <rFont val="Calibri"/>
        <family val="2"/>
        <scheme val="minor"/>
      </rPr>
      <t>eigene Angaben</t>
    </r>
    <r>
      <rPr>
        <sz val="12"/>
        <rFont val="Calibri"/>
        <family val="2"/>
        <scheme val="minor"/>
      </rPr>
      <t>)</t>
    </r>
  </si>
  <si>
    <r>
      <t>Gärrest fest 1 (</t>
    </r>
    <r>
      <rPr>
        <sz val="12"/>
        <color rgb="FFFF0000"/>
        <rFont val="Calibri"/>
        <family val="2"/>
        <scheme val="minor"/>
      </rPr>
      <t>eigene Angaben</t>
    </r>
    <r>
      <rPr>
        <sz val="12"/>
        <rFont val="Calibri"/>
        <family val="2"/>
        <scheme val="minor"/>
      </rPr>
      <t>)</t>
    </r>
  </si>
  <si>
    <r>
      <t>Gärrest fest 2 (</t>
    </r>
    <r>
      <rPr>
        <sz val="12"/>
        <color rgb="FFFF0000"/>
        <rFont val="Calibri"/>
        <family val="2"/>
        <scheme val="minor"/>
      </rPr>
      <t>eigene Angaben</t>
    </r>
    <r>
      <rPr>
        <sz val="12"/>
        <rFont val="Calibri"/>
        <family val="2"/>
        <scheme val="minor"/>
      </rPr>
      <t>)</t>
    </r>
  </si>
  <si>
    <t>Lagerung von Gärresten</t>
  </si>
  <si>
    <t xml:space="preserve">170 kg N-Obergrenze </t>
  </si>
  <si>
    <r>
      <t xml:space="preserve">Aufnahme organischer Dünger (Wirtschaftsdünger und Gärreste) von anderen Betrieben; </t>
    </r>
    <r>
      <rPr>
        <sz val="12"/>
        <color theme="1"/>
        <rFont val="Calibri"/>
        <family val="2"/>
        <scheme val="minor"/>
      </rPr>
      <t>ohne Kompost</t>
    </r>
  </si>
  <si>
    <t>% Ziel-TM-Gehalt (z.B. Getreide 86 %)</t>
  </si>
  <si>
    <t>dt/ha bzw. dt Ertrag bei Ziel-TM-Gehalt (bei Produkten wie Heu o. Silagen)</t>
  </si>
  <si>
    <t>kg N-Obergrenze</t>
  </si>
  <si>
    <t>Abgabe (Verkauf) organischer bzw. tierischer Wirtschaftsdünger</t>
  </si>
  <si>
    <t>vorname.nachname@dlr.rlp.de</t>
  </si>
  <si>
    <t>Karl vom Land</t>
  </si>
  <si>
    <t>An den Höfen 7, 54321 Landrod</t>
  </si>
  <si>
    <t>Landwirtschaft vom Land</t>
  </si>
  <si>
    <t xml:space="preserve"> dt                </t>
  </si>
  <si>
    <r>
      <t xml:space="preserve">notwendige Lagerraumkapazität </t>
    </r>
    <r>
      <rPr>
        <sz val="12"/>
        <color theme="1"/>
        <rFont val="Calibri"/>
        <family val="2"/>
        <scheme val="minor"/>
      </rPr>
      <t>(unabhängig vom evtl. Verkauf der Wirtschaftsdünger berechnet)</t>
    </r>
  </si>
  <si>
    <t>Menge * Gehalt                                * 0,95</t>
  </si>
  <si>
    <t>mit Weide-         haltung</t>
  </si>
  <si>
    <r>
      <t>P</t>
    </r>
    <r>
      <rPr>
        <b/>
        <vertAlign val="subscript"/>
        <sz val="11"/>
        <rFont val="Calibri"/>
        <family val="2"/>
        <scheme val="minor"/>
      </rPr>
      <t>2</t>
    </r>
    <r>
      <rPr>
        <b/>
        <sz val="11"/>
        <rFont val="Calibri"/>
        <family val="2"/>
        <scheme val="minor"/>
      </rPr>
      <t>O</t>
    </r>
    <r>
      <rPr>
        <b/>
        <vertAlign val="subscript"/>
        <sz val="11"/>
        <rFont val="Calibri"/>
        <family val="2"/>
        <scheme val="minor"/>
      </rPr>
      <t>5</t>
    </r>
  </si>
  <si>
    <t>Pflanzenbau: Anbau und Ernten</t>
  </si>
  <si>
    <r>
      <t xml:space="preserve">Aufnahme (Kauf) und Abgabe (Verkauf) von organischen Düngern                                                                                                                                                        </t>
    </r>
    <r>
      <rPr>
        <sz val="14"/>
        <color theme="1"/>
        <rFont val="Calibri"/>
        <family val="2"/>
        <scheme val="minor"/>
      </rPr>
      <t>(als Düngemittel, kein Gärsubstratzukauf und kein Gärrestverkauf)</t>
    </r>
  </si>
  <si>
    <t>Zukauf von Mineraldünger etc.</t>
  </si>
  <si>
    <t>Tierzugänge (Zukauf) und Tierabgänge (Verkauf)</t>
  </si>
  <si>
    <t>Grünlandnutzung gemäß DüV</t>
  </si>
  <si>
    <t>In die Karte hineinzoomen und den Wert in kg N/ha direkt ablesen!</t>
  </si>
  <si>
    <t>Der Wert muss nicht in der Stoffstrombilanz verrechnet werden.</t>
  </si>
  <si>
    <t>mit Gülle, Festmist, Jauche im eigenen Betrieb</t>
  </si>
  <si>
    <t>mit                         Gär-         resten der eigenen BGA</t>
  </si>
  <si>
    <t>Abgabe Gülle, Mist, Jauche an andere Betriebe</t>
  </si>
  <si>
    <t xml:space="preserve">Erfassen Sie stets nur diejenigen Produkte etc., die zum Einsatz kommen oder zur Vermarktung oder Verwertung bestimmt sind (um nicht Lagerbestände berücksichtigen zu müssen). </t>
  </si>
  <si>
    <t>GV/ha</t>
  </si>
  <si>
    <r>
      <rPr>
        <b/>
        <sz val="12"/>
        <color theme="1"/>
        <rFont val="Calibri"/>
        <family val="2"/>
        <scheme val="minor"/>
      </rPr>
      <t>ha landwirtschaftlich genutzte Fläche</t>
    </r>
    <r>
      <rPr>
        <sz val="12"/>
        <color theme="1"/>
        <rFont val="Calibri"/>
        <family val="2"/>
        <scheme val="minor"/>
      </rPr>
      <t xml:space="preserve">, jedoch </t>
    </r>
    <r>
      <rPr>
        <b/>
        <sz val="12"/>
        <color theme="1"/>
        <rFont val="Calibri"/>
        <family val="2"/>
        <scheme val="minor"/>
      </rPr>
      <t xml:space="preserve">ohne: </t>
    </r>
    <r>
      <rPr>
        <sz val="12"/>
        <color theme="1"/>
        <rFont val="Calibri"/>
        <family val="2"/>
        <scheme val="minor"/>
      </rPr>
      <t xml:space="preserve"> aus der Produktion genommene Flächen, Zierpflanzen, Christbäume, Baum- u. Rebschulen, Strauchbeeren u. Baumobst, nicht im Ertrag stehende Wein-/Obstkulturen, schnellwachs. Forstgehölze</t>
    </r>
  </si>
  <si>
    <t>Vorgehensweise</t>
  </si>
  <si>
    <r>
      <t xml:space="preserve"> </t>
    </r>
    <r>
      <rPr>
        <b/>
        <sz val="12"/>
        <color theme="1"/>
        <rFont val="Calibri"/>
        <family val="2"/>
        <scheme val="minor"/>
      </rPr>
      <t>Eigene Biogasanlage,</t>
    </r>
    <r>
      <rPr>
        <sz val="12"/>
        <color theme="1"/>
        <rFont val="Calibri"/>
        <family val="2"/>
        <scheme val="minor"/>
      </rPr>
      <t xml:space="preserve"> die mit einem </t>
    </r>
    <r>
      <rPr>
        <b/>
        <sz val="12"/>
        <color theme="1"/>
        <rFont val="Calibri"/>
        <family val="2"/>
        <scheme val="minor"/>
      </rPr>
      <t>viehhaltenden, stoffstrombilanz-pflichtigen Betrieb</t>
    </r>
    <r>
      <rPr>
        <sz val="12"/>
        <color theme="1"/>
        <rFont val="Calibri"/>
        <family val="2"/>
        <scheme val="minor"/>
      </rPr>
      <t xml:space="preserve"> im </t>
    </r>
    <r>
      <rPr>
        <b/>
        <sz val="12"/>
        <color theme="1"/>
        <rFont val="Calibri"/>
        <family val="2"/>
        <scheme val="minor"/>
      </rPr>
      <t>funktionalen Zusammenhang</t>
    </r>
    <r>
      <rPr>
        <sz val="12"/>
        <color theme="1"/>
        <rFont val="Calibri"/>
        <family val="2"/>
        <scheme val="minor"/>
      </rPr>
      <t xml:space="preserve"> (Austausch Substrate, Wirtschaftsdünger, Gärreste) steht, und </t>
    </r>
    <r>
      <rPr>
        <b/>
        <sz val="12"/>
        <color theme="1"/>
        <rFont val="Calibri"/>
        <family val="2"/>
        <scheme val="minor"/>
      </rPr>
      <t>die Wirtschaftsdünger</t>
    </r>
    <r>
      <rPr>
        <sz val="12"/>
        <color theme="1"/>
        <rFont val="Calibri"/>
        <family val="2"/>
        <scheme val="minor"/>
      </rPr>
      <t xml:space="preserve"> von diesem o. anderen Betrieben </t>
    </r>
    <r>
      <rPr>
        <b/>
        <sz val="12"/>
        <color theme="1"/>
        <rFont val="Calibri"/>
        <family val="2"/>
        <scheme val="minor"/>
      </rPr>
      <t>bezieht</t>
    </r>
  </si>
  <si>
    <r>
      <t>Werden Wirtschaftsdünger als Gärsubstrat zugekauft oder werden Gärreste der eigenen BGA eingesetzt oder abgegeben bzw. verkauft, so sind sie im Tab.blatt "</t>
    </r>
    <r>
      <rPr>
        <b/>
        <sz val="12"/>
        <color theme="1"/>
        <rFont val="Calibri"/>
        <family val="2"/>
        <scheme val="minor"/>
      </rPr>
      <t>Biogasanlage</t>
    </r>
    <r>
      <rPr>
        <sz val="12"/>
        <color theme="1"/>
        <rFont val="Calibri"/>
        <family val="2"/>
        <scheme val="minor"/>
      </rPr>
      <t xml:space="preserve">" anzugeben. </t>
    </r>
  </si>
  <si>
    <r>
      <t xml:space="preserve">Werden </t>
    </r>
    <r>
      <rPr>
        <b/>
        <sz val="12"/>
        <color theme="1"/>
        <rFont val="Calibri"/>
        <family val="2"/>
        <scheme val="minor"/>
      </rPr>
      <t>organische Düngemittel (Wirtschaftsdünger, Kompost etc.</t>
    </r>
    <r>
      <rPr>
        <sz val="12"/>
        <color theme="1"/>
        <rFont val="Calibri"/>
        <family val="2"/>
        <scheme val="minor"/>
      </rPr>
      <t xml:space="preserve">) </t>
    </r>
    <r>
      <rPr>
        <b/>
        <sz val="12"/>
        <color theme="1"/>
        <rFont val="Calibri"/>
        <family val="2"/>
        <scheme val="minor"/>
      </rPr>
      <t>bezogen oder abgegeben</t>
    </r>
    <r>
      <rPr>
        <sz val="12"/>
        <color theme="1"/>
        <rFont val="Calibri"/>
        <family val="2"/>
        <scheme val="minor"/>
      </rPr>
      <t xml:space="preserve"> und liegen individuelle Nährstoffgehalte vor, müssen diese Düngemittel und die Nährstoffgehalte im Tabellenblatt "Daten Düngemittel" ergänzt werden. Dafür sind die Zeilen mit "eigene ...." vorgesehen. Dabei ist unbedingt darauf zu achten, dass die %-N-Anrechnungsgrade und %-N-Aufbringungsverluste richtig eingetragen werden, indem sie von in der Tabelle vorhandenen, vergleichbaren Produkten übernommen werden. Werden die eigenen Wirtschaftsdünger der eigenen Tierhaltung ausschließlich auf eigenen Flächen verwertet, muss nichts geändert werden, da die Nährstoffmengen der eigenen tierischen Wirtschaftsdünger über die Tierbestände erfasst werden (Tabellenblatt "Tierhaltung"), und nicht über die Wirtschaftsdünger.</t>
    </r>
  </si>
  <si>
    <t>kg in Stoffstrombilanz beim Verkauf von Wirtschaftsdüngern</t>
  </si>
  <si>
    <t>ha:</t>
  </si>
  <si>
    <r>
      <rPr>
        <b/>
        <sz val="11"/>
        <rFont val="Calibri"/>
        <family val="2"/>
        <scheme val="minor"/>
      </rPr>
      <t>Gras- / Klee- / Luzernesamenvermehrung:</t>
    </r>
    <r>
      <rPr>
        <sz val="11"/>
        <rFont val="Calibri"/>
        <family val="2"/>
        <scheme val="minor"/>
      </rPr>
      <t xml:space="preserve"> jede Fläche einmal als Futter (Feldgras, Klee, Luzerne) im Abschnitt Futterbau und hier nur die Samen und ggf. das Heu der Samenernte erfassen.</t>
    </r>
  </si>
  <si>
    <t>Hier finden Sie die aktuelle N-Deposition Ihres Standortes auf der Internetseite des Umweltbundesamtes:</t>
  </si>
  <si>
    <t xml:space="preserve"> (Anzahl Wdk. * Grobf.aufn. ) + 10 % Lagerverl.                                                             plus abgeg. Grobf. minus gek. Grobf.       </t>
  </si>
  <si>
    <t>Bitte lesen Sie diese Einführung, bevor Sie anfangen, mit diesem Programm zu arbeiten!</t>
  </si>
  <si>
    <t>kg verkauft</t>
  </si>
  <si>
    <t>Die Mindestlagerkapazität wird hier nach den Angaben der DüV berechnet. Abweichende TM-Gehalte der Wirtschaftsdünger, Niederschlags- u. Abwässer, Silagesickersäfte, nicht abpumpbare Restmengen u. notwend. Freiborde sind hier nicht berücksichtigt. Zeiträume mit Beweidung sind bereits berücksichtigt! Der Gülle- und Jauchelagerbedarf wird für 6 Monate angezeigt, wobei Jauche nur berücksichtigt wird, wenn Gülle in weniger als 6 Monaten anfällt. Für Planungen/Bauvorhaben ziehen Sie bitte die Bauberatung der Landwirtschaftskammer hinzu.</t>
  </si>
  <si>
    <r>
      <t xml:space="preserve">Saat- und Pflanzgut                                                                                                     </t>
    </r>
    <r>
      <rPr>
        <sz val="11"/>
        <color theme="1"/>
        <rFont val="Calibri"/>
        <family val="2"/>
        <scheme val="minor"/>
      </rPr>
      <t>(nur Getreide, Mais, Körnerlegum., Kartoffeln)</t>
    </r>
  </si>
  <si>
    <r>
      <t xml:space="preserve">Futtermittel                                                                                                                 </t>
    </r>
    <r>
      <rPr>
        <b/>
        <sz val="11"/>
        <color theme="1"/>
        <rFont val="Calibri"/>
        <family val="2"/>
        <scheme val="minor"/>
      </rPr>
      <t xml:space="preserve"> </t>
    </r>
    <r>
      <rPr>
        <sz val="11"/>
        <color theme="1"/>
        <rFont val="Calibri"/>
        <family val="2"/>
        <scheme val="minor"/>
      </rPr>
      <t>(auch Stroh (Einstreu oder Futterstroh))</t>
    </r>
  </si>
  <si>
    <r>
      <rPr>
        <b/>
        <sz val="12"/>
        <color theme="1"/>
        <rFont val="Calibri"/>
        <family val="2"/>
        <scheme val="minor"/>
      </rPr>
      <t>Marktfruchtkulturen</t>
    </r>
    <r>
      <rPr>
        <sz val="11"/>
        <color theme="1"/>
        <rFont val="Calibri"/>
        <family val="2"/>
        <scheme val="minor"/>
      </rPr>
      <t xml:space="preserve">  (ohne Grobfutter)                                                                                                                                            Acker - und Weinbau, Sonderkulturen, d.h. Kulturen, deren Haupternteprodukte vermarktet werden können. Silomais finden Sie in der Tabelle unten: Futterbau.</t>
    </r>
  </si>
  <si>
    <t>Zweit- und Zwischenfrüchte des Ackerbaus (auch Grobfutter), Samenernten der Gras-/Kleevermehrung                                                                                          sowie Begrünungen von Rebflächen</t>
  </si>
  <si>
    <r>
      <rPr>
        <b/>
        <sz val="13"/>
        <color theme="1"/>
        <rFont val="Calibri"/>
        <family val="2"/>
        <scheme val="minor"/>
      </rPr>
      <t>Futterbau</t>
    </r>
    <r>
      <rPr>
        <b/>
        <sz val="12"/>
        <color theme="1"/>
        <rFont val="Calibri"/>
        <family val="2"/>
        <scheme val="minor"/>
      </rPr>
      <t xml:space="preserve"> (auch Grobfutter)        </t>
    </r>
    <r>
      <rPr>
        <b/>
        <sz val="11"/>
        <color theme="1"/>
        <rFont val="Calibri"/>
        <family val="2"/>
        <scheme val="minor"/>
      </rPr>
      <t xml:space="preserve">                                                                                                                                  </t>
    </r>
    <r>
      <rPr>
        <b/>
        <sz val="12"/>
        <color theme="1"/>
        <rFont val="Calibri"/>
        <family val="2"/>
        <scheme val="minor"/>
      </rPr>
      <t>Grünland/Feldfutterbau/Gärsubstrate</t>
    </r>
    <r>
      <rPr>
        <b/>
        <sz val="11"/>
        <color theme="1"/>
        <rFont val="Calibri"/>
        <family val="2"/>
        <scheme val="minor"/>
      </rPr>
      <t xml:space="preserve">                                         </t>
    </r>
    <r>
      <rPr>
        <sz val="11"/>
        <color theme="1"/>
        <rFont val="Calibri"/>
        <family val="2"/>
        <scheme val="minor"/>
      </rPr>
      <t xml:space="preserve">Ernteprodukte werden i.d.R. verfüttert oder in Biogasanlage verwertet. </t>
    </r>
  </si>
  <si>
    <t>eigener Klärschlamm 1, 3,5 % TM</t>
  </si>
  <si>
    <t>eigener Klärschlamm 2, 3,5 % TM</t>
  </si>
  <si>
    <t>Beispiel:</t>
  </si>
  <si>
    <t>Weidetag-Rechner</t>
  </si>
  <si>
    <t>Tage</t>
  </si>
  <si>
    <t>Weidetage</t>
  </si>
  <si>
    <t>zur Übernahme in Spalte I</t>
  </si>
  <si>
    <t>Stunden pro Tag</t>
  </si>
  <si>
    <t>Tierhaltungsform</t>
  </si>
  <si>
    <r>
      <t xml:space="preserve">Werden </t>
    </r>
    <r>
      <rPr>
        <b/>
        <sz val="12"/>
        <color theme="1"/>
        <rFont val="Calibri"/>
        <family val="2"/>
        <scheme val="minor"/>
      </rPr>
      <t>organische Düngemittel (Wirtschaftsdünger, Klärschlamm, Kompost etc.</t>
    </r>
    <r>
      <rPr>
        <sz val="12"/>
        <color theme="1"/>
        <rFont val="Calibri"/>
        <family val="2"/>
        <scheme val="minor"/>
      </rPr>
      <t xml:space="preserve">) </t>
    </r>
    <r>
      <rPr>
        <b/>
        <sz val="12"/>
        <color theme="1"/>
        <rFont val="Calibri"/>
        <family val="2"/>
        <scheme val="minor"/>
      </rPr>
      <t>bezogen oder abgegeben</t>
    </r>
    <r>
      <rPr>
        <sz val="12"/>
        <color theme="1"/>
        <rFont val="Calibri"/>
        <family val="2"/>
        <scheme val="minor"/>
      </rPr>
      <t xml:space="preserve"> und liegen individuelle Nährstoffgehalte vor, müssen diese Düngemittel und die Nährstoffgehalte im Tabellenblatt "Daten Düngemittel" ergänzt werden. Dafür sind die Zeilen mit "eigene ...." vorgesehen. Dabei ist unbedingt darauf zu achten, dass die %-N-Anrechnungsgrade und %-N-Aufbringungsverluste richtig eingetragen werden, indem sie von in der Tabelle vorhandenen, vergleichbaren Produkten übernommen werden. Werden die eigenen Wirtschaftsdünger der eigenen Tierhaltung ausschließlich auf eigenen Flächen verwertet, muss nichts geändert werden, da die Nährstoffmengen der eigenen tierischen Wirtschaftsdünger über die Tierbestände erfasst werden (Tabellenblatt "Tierhaltung") und nicht über die Wirtschaftsdünger.</t>
    </r>
  </si>
  <si>
    <t>Lupinen blau</t>
  </si>
  <si>
    <r>
      <rPr>
        <b/>
        <sz val="12"/>
        <color theme="1"/>
        <rFont val="Calibri"/>
        <family val="2"/>
        <scheme val="minor"/>
      </rPr>
      <t>Grobfutter</t>
    </r>
    <r>
      <rPr>
        <b/>
        <sz val="11"/>
        <color theme="1"/>
        <rFont val="Calibri"/>
        <family val="2"/>
        <scheme val="minor"/>
      </rPr>
      <t xml:space="preserve"> </t>
    </r>
    <r>
      <rPr>
        <sz val="11"/>
        <color theme="1"/>
        <rFont val="Calibri"/>
        <family val="2"/>
        <scheme val="minor"/>
      </rPr>
      <t xml:space="preserve">nach DüV = Erträge des Futterbaus (Grünland und Feldfutterbau), die an Wiederkäuer verfüttert werden.  Die </t>
    </r>
    <r>
      <rPr>
        <b/>
        <sz val="12"/>
        <color theme="1"/>
        <rFont val="Calibri"/>
        <family val="2"/>
        <scheme val="minor"/>
      </rPr>
      <t>Grobfuttererträge</t>
    </r>
    <r>
      <rPr>
        <sz val="11"/>
        <color theme="1"/>
        <rFont val="Calibri"/>
        <family val="2"/>
        <scheme val="minor"/>
      </rPr>
      <t xml:space="preserve"> werden über die Nährstoffaufnahme der Wiederkäuer im Tabellenblatt "Tierhaltung" ermittelt. Eine Ertragsschätzung ist hier dennoch notwendig wegen der möglichen Verfütterung an  Nichtwiederkäuer oder wegen Vermarktung und weiterhin wegen der N-Bindung durch Leguminosen.                                                                                                                                                                                                                                                                                  </t>
    </r>
  </si>
  <si>
    <t xml:space="preserve">Bei "Abgabe an andere Betriebe" muss der Wirtschaftsdünger der hier eingegebenen Anzahl von Tieren vollständig zuzuordnen sein! Ist diese Zuordnung nicht möglich bzw. wird eine bestimmte Menge Wirtschaftsdünger (ohne Bezug zu einer konkreten Anzahl Tiere) abgegeben, so wird dies im Tabellenblatt "Organ. Dünger" eingegeben. In diesem Fall wählen Sie hier bei Verwertung "auf selbst bewirtschaft. Flächen" aus! </t>
  </si>
  <si>
    <t>Bemerkungen, Kommentare</t>
  </si>
  <si>
    <t>In dieser Spalte können Sie Besonderheiten eintragen, wie z.B. Hagelschäden, tats. Feuchtegehalte etc.</t>
  </si>
  <si>
    <t xml:space="preserve">dt FM/ha                             </t>
  </si>
  <si>
    <t>an Nichtwiederkäuer verfüttert</t>
  </si>
  <si>
    <t xml:space="preserve"> Tragen Sie die Tiere in diese Tabelle ein, wenn Sie prüfen wollen, ob Sie eine Stoffstrombilanz erstellen müssen.</t>
  </si>
  <si>
    <t>Bestehende Verpflichtungen zur Erstellung einer Stoffstrombilanz (Die Stoffstrombilanz ist für den gleichen Bezugszeitraum (Düngejahr) zu erstellen wie der Nährstoffvergleich).</t>
  </si>
  <si>
    <r>
      <t xml:space="preserve">Die Tabellenblätter mit </t>
    </r>
    <r>
      <rPr>
        <b/>
        <sz val="12"/>
        <color theme="8" tint="0.39997558519241921"/>
        <rFont val="Calibri"/>
        <family val="2"/>
        <scheme val="minor"/>
      </rPr>
      <t xml:space="preserve">blauen Reitern </t>
    </r>
    <r>
      <rPr>
        <sz val="12"/>
        <color theme="1"/>
        <rFont val="Calibri"/>
        <family val="2"/>
        <scheme val="minor"/>
      </rPr>
      <t xml:space="preserve">enthalten die Ergebnisse bzw. </t>
    </r>
    <r>
      <rPr>
        <sz val="12"/>
        <rFont val="Calibri"/>
        <family val="2"/>
        <scheme val="minor"/>
      </rPr>
      <t>den</t>
    </r>
    <r>
      <rPr>
        <b/>
        <sz val="12"/>
        <color theme="8" tint="0.39997558519241921"/>
        <rFont val="Calibri"/>
        <family val="2"/>
        <scheme val="minor"/>
      </rPr>
      <t xml:space="preserve"> Ausdruck der Stoffstrombilanz</t>
    </r>
    <r>
      <rPr>
        <sz val="12"/>
        <color theme="1"/>
        <rFont val="Calibri"/>
        <family val="2"/>
        <scheme val="minor"/>
      </rPr>
      <t>, die die wichtigsten, eingegebenen Daten beinhalten. Die Ausdrucke dienen zur Dokumentation und sind für mögliche Kontrollen aufzubewahren. Gegebenenfalls müssen Sie die Seitenränder anpassen oder auch die Seitenbegrenzungen (unter "Ansicht" und "Umbruchvorschau").</t>
    </r>
  </si>
  <si>
    <t>ann-christin.alzer@dlr.rlp.de</t>
  </si>
  <si>
    <t>kg  in Stoffstrombilanz</t>
  </si>
  <si>
    <r>
      <t xml:space="preserve">Zukauf </t>
    </r>
    <r>
      <rPr>
        <b/>
        <sz val="10"/>
        <rFont val="Calibri"/>
        <family val="2"/>
        <scheme val="minor"/>
      </rPr>
      <t>Mineraldünger</t>
    </r>
    <r>
      <rPr>
        <sz val="10"/>
        <rFont val="Calibri"/>
        <family val="2"/>
        <scheme val="minor"/>
      </rPr>
      <t xml:space="preserve"> etc.</t>
    </r>
  </si>
  <si>
    <r>
      <t xml:space="preserve">Zukauf von </t>
    </r>
    <r>
      <rPr>
        <b/>
        <sz val="10"/>
        <rFont val="Calibri"/>
        <family val="2"/>
        <scheme val="minor"/>
      </rPr>
      <t>Futtermitteln</t>
    </r>
  </si>
  <si>
    <r>
      <t xml:space="preserve">Zukauf von </t>
    </r>
    <r>
      <rPr>
        <b/>
        <sz val="10"/>
        <rFont val="Calibri"/>
        <family val="2"/>
        <scheme val="minor"/>
      </rPr>
      <t>Saatgut</t>
    </r>
  </si>
  <si>
    <r>
      <t xml:space="preserve">Zukauf von </t>
    </r>
    <r>
      <rPr>
        <b/>
        <sz val="10"/>
        <rFont val="Calibri"/>
        <family val="2"/>
        <scheme val="minor"/>
      </rPr>
      <t>Tieren</t>
    </r>
  </si>
  <si>
    <r>
      <t xml:space="preserve">Verkauf </t>
    </r>
    <r>
      <rPr>
        <b/>
        <sz val="10"/>
        <rFont val="Calibri"/>
        <family val="2"/>
        <scheme val="minor"/>
      </rPr>
      <t>tierischer Produkte</t>
    </r>
  </si>
  <si>
    <r>
      <t xml:space="preserve">Verkauf von </t>
    </r>
    <r>
      <rPr>
        <b/>
        <sz val="10"/>
        <rFont val="Calibri"/>
        <family val="2"/>
        <scheme val="minor"/>
      </rPr>
      <t>Tieren</t>
    </r>
  </si>
  <si>
    <r>
      <t>K</t>
    </r>
    <r>
      <rPr>
        <b/>
        <vertAlign val="subscript"/>
        <sz val="11"/>
        <rFont val="Calibri"/>
        <family val="2"/>
        <scheme val="minor"/>
      </rPr>
      <t>2</t>
    </r>
    <r>
      <rPr>
        <b/>
        <sz val="11"/>
        <rFont val="Calibri"/>
        <family val="2"/>
        <scheme val="minor"/>
      </rPr>
      <t>O</t>
    </r>
    <r>
      <rPr>
        <sz val="11"/>
        <color theme="1"/>
        <rFont val="Calibri"/>
        <family val="2"/>
        <scheme val="minor"/>
      </rPr>
      <t/>
    </r>
  </si>
  <si>
    <r>
      <t xml:space="preserve">Zukauf </t>
    </r>
    <r>
      <rPr>
        <b/>
        <sz val="10"/>
        <rFont val="Calibri"/>
        <family val="2"/>
        <scheme val="minor"/>
      </rPr>
      <t xml:space="preserve">organischer Dünger </t>
    </r>
    <r>
      <rPr>
        <sz val="10"/>
        <rFont val="Calibri"/>
        <family val="2"/>
        <scheme val="minor"/>
      </rPr>
      <t>(ohne Komp.)</t>
    </r>
  </si>
  <si>
    <r>
      <t xml:space="preserve">Zukauf von </t>
    </r>
    <r>
      <rPr>
        <b/>
        <sz val="10"/>
        <rFont val="Calibri"/>
        <family val="2"/>
        <scheme val="minor"/>
      </rPr>
      <t>Kompost</t>
    </r>
  </si>
  <si>
    <r>
      <t xml:space="preserve">Zukauf </t>
    </r>
    <r>
      <rPr>
        <b/>
        <sz val="10"/>
        <rFont val="Calibri"/>
        <family val="2"/>
        <scheme val="minor"/>
      </rPr>
      <t>pflanzlicher Gärsubstrate</t>
    </r>
  </si>
  <si>
    <r>
      <t xml:space="preserve">Zukauf von </t>
    </r>
    <r>
      <rPr>
        <b/>
        <sz val="10"/>
        <rFont val="Calibri"/>
        <family val="2"/>
        <scheme val="minor"/>
      </rPr>
      <t>Wirtschaftsdüngern als Gärsubstrate</t>
    </r>
  </si>
  <si>
    <r>
      <t xml:space="preserve">Verkauf von </t>
    </r>
    <r>
      <rPr>
        <b/>
        <sz val="10"/>
        <rFont val="Calibri"/>
        <family val="2"/>
        <scheme val="minor"/>
      </rPr>
      <t>Gärresten</t>
    </r>
  </si>
  <si>
    <r>
      <t xml:space="preserve">Verkauf </t>
    </r>
    <r>
      <rPr>
        <b/>
        <sz val="10"/>
        <rFont val="Calibri"/>
        <family val="2"/>
        <scheme val="minor"/>
      </rPr>
      <t>pflanzlicher Produkte</t>
    </r>
  </si>
  <si>
    <r>
      <t xml:space="preserve">Verkauf von </t>
    </r>
    <r>
      <rPr>
        <b/>
        <sz val="10"/>
        <rFont val="Calibri"/>
        <family val="2"/>
        <scheme val="minor"/>
      </rPr>
      <t>Grobfutter</t>
    </r>
  </si>
  <si>
    <r>
      <t xml:space="preserve">Zukauf von </t>
    </r>
    <r>
      <rPr>
        <b/>
        <sz val="10"/>
        <rFont val="Calibri"/>
        <family val="2"/>
        <scheme val="minor"/>
      </rPr>
      <t>Grobfutter</t>
    </r>
  </si>
  <si>
    <r>
      <t xml:space="preserve">Verkauf </t>
    </r>
    <r>
      <rPr>
        <b/>
        <sz val="10"/>
        <rFont val="Calibri"/>
        <family val="2"/>
        <scheme val="minor"/>
      </rPr>
      <t>tierischer Wirtschaftsdünger</t>
    </r>
  </si>
  <si>
    <t>kg N/ha ohne Kompost</t>
  </si>
  <si>
    <t>Zukauf von Kompost</t>
  </si>
  <si>
    <t>kg N/ha durch Kompost</t>
  </si>
  <si>
    <t>kg N/ha organische Dünger incl. Kompost</t>
  </si>
  <si>
    <t>Organische Dünger</t>
  </si>
  <si>
    <t xml:space="preserve">kg N </t>
  </si>
  <si>
    <t>Nährstoffe eigener Tiere (Stallhaltung-Wirtschaftsdünger)</t>
  </si>
  <si>
    <t>Nährstoffe eigener Tiere (Weidehaltung)</t>
  </si>
  <si>
    <t>Zukauf organ. Dünger incl. Gärreste (ohne Komposte)</t>
  </si>
  <si>
    <t>Verkauf von Wirtschaftsdüngern</t>
  </si>
  <si>
    <t>SUMME</t>
  </si>
  <si>
    <t>ha LF</t>
  </si>
  <si>
    <t>Prüfung der 170-kg-N-Obergrenze/ha</t>
  </si>
  <si>
    <t>Abkürzungen:
bP = belegter Platz/ eT = erzeugtes Tier
GL = Grünland/ AL = Ackerland (Betriebe mit mehr als 75 % der Grundfuttertrockenmasse aus Gras und Grasprodukten gelten als Grünlandbetrieb.)
U-Futter = Universal- o. Standardfutter
N-P-red. = N-P-reduziertes Futter</t>
  </si>
  <si>
    <t>Mineralfutter 0 % P, 95 % TM</t>
  </si>
  <si>
    <r>
      <t xml:space="preserve">Beim Betrieb einer </t>
    </r>
    <r>
      <rPr>
        <b/>
        <sz val="13"/>
        <rFont val="Calibri"/>
        <family val="2"/>
        <scheme val="minor"/>
      </rPr>
      <t>Biogasanlage</t>
    </r>
    <r>
      <rPr>
        <sz val="13"/>
        <rFont val="Calibri"/>
        <family val="2"/>
        <scheme val="minor"/>
      </rPr>
      <t xml:space="preserve"> ist folgendes zu beachten: Ist </t>
    </r>
    <r>
      <rPr>
        <b/>
        <sz val="13"/>
        <rFont val="Calibri"/>
        <family val="2"/>
        <scheme val="minor"/>
      </rPr>
      <t>eine Stoffstrombilanz erforderlich</t>
    </r>
    <r>
      <rPr>
        <sz val="13"/>
        <rFont val="Calibri"/>
        <family val="2"/>
        <scheme val="minor"/>
      </rPr>
      <t>, müssen hier alle Substratzukäufe (ab Zeilen 11 die pflanzlichen Substrate und ab Zeile 35 die Wirtschaftsdünger) sowie ab Zeile 54 alle Verkäufe bzw. Abgaben von Gärresten erfasst werden. Selbst angebaute Substrat-Kulturen sind ohnehin im Tabellenblatt "Ernteprodukte" mit der Verwendung "Verwertung in eigener Biogasanlage" zu erfassen. Bei der Verwertung der eigenen tierischen Wirtschaftsdünger in der eigenen Biogasanlage ist ebenfalls unabhängig von der Vorgehensweise die Verwertung "in eigene Biogasanlage" auszuwählen.</t>
    </r>
  </si>
  <si>
    <r>
      <t xml:space="preserve">Ziel dieser Anwendung ist, dass der Nutzer seine Daten nur einmal eingeben muss, um eine Stoffstrombilanz simultan zu erstellen. </t>
    </r>
    <r>
      <rPr>
        <sz val="12"/>
        <rFont val="Calibri"/>
        <family val="2"/>
        <scheme val="minor"/>
      </rPr>
      <t>Auch wenn aktuell noch keine Stoffstrombilanz erstellt werden muss, ist diese Vorgehensweise zu empfehlen, um sich einen Überblick über die Nährstoffbewegungen zu verschaffen.</t>
    </r>
  </si>
  <si>
    <t xml:space="preserve">Diese Tabellenkalkulations-Anwendung wurde zusammen mit den Studenten der Agrarwirtschaft an der TH Bingen, Lea Wintz und Benjamin Klauk, im Rahmen ihres Praktikums am DLR R-N-H, unter der Anleitung von Dr. Friedhelm Fritsch, DLR R-N-H, Bad Kreuznach angefertigt. </t>
  </si>
  <si>
    <t>Phopshat-Salden aus den letzten 5 Jahren</t>
  </si>
  <si>
    <r>
      <rPr>
        <b/>
        <sz val="12"/>
        <color theme="1"/>
        <rFont val="Calibri"/>
        <family val="2"/>
        <scheme val="minor"/>
      </rPr>
      <t>Betriebe mit Tierhaltung</t>
    </r>
    <r>
      <rPr>
        <sz val="12"/>
        <color theme="1"/>
        <rFont val="Calibri"/>
        <family val="2"/>
        <scheme val="minor"/>
      </rPr>
      <t xml:space="preserve"> füllen das Tabellenblatt </t>
    </r>
    <r>
      <rPr>
        <b/>
        <sz val="12"/>
        <color theme="9"/>
        <rFont val="Calibri"/>
        <family val="2"/>
        <scheme val="minor"/>
      </rPr>
      <t>Tierhaltung</t>
    </r>
    <r>
      <rPr>
        <sz val="12"/>
        <color theme="1"/>
        <rFont val="Calibri"/>
        <family val="2"/>
        <scheme val="minor"/>
      </rPr>
      <t xml:space="preserve"> aus. Bei Betrieben mit Wiederkäuerhaltung (Rinder, Ziegen, Schafe, Damtiere) wird die Höhe der </t>
    </r>
    <r>
      <rPr>
        <b/>
        <sz val="12"/>
        <color theme="1"/>
        <rFont val="Calibri"/>
        <family val="2"/>
        <scheme val="minor"/>
      </rPr>
      <t>Erträge im Futterbau</t>
    </r>
    <r>
      <rPr>
        <sz val="12"/>
        <color theme="1"/>
        <rFont val="Calibri"/>
        <family val="2"/>
        <scheme val="minor"/>
      </rPr>
      <t xml:space="preserve"> (Grünland, Feldfutter) nur zur Berechnung der N-Bindung der Leguminosen genutzt. Besteht ein </t>
    </r>
    <r>
      <rPr>
        <b/>
        <sz val="12"/>
        <color theme="1"/>
        <rFont val="Calibri"/>
        <family val="2"/>
        <scheme val="minor"/>
      </rPr>
      <t>Futtervorrat</t>
    </r>
    <r>
      <rPr>
        <sz val="12"/>
        <color theme="1"/>
        <rFont val="Calibri"/>
        <family val="2"/>
        <scheme val="minor"/>
      </rPr>
      <t xml:space="preserve"> (Silage, Heu etc.), der über die Jahre hinweg vor sich her geschoben wird, so kann dies bei kleinen Vorratsänderungen - durch Entnahme oder Aufstockung - ignoriert werden. Insbesondere größere Vorratsänderungen können als Grobfutterverkauf und -zukauf verbucht werden. So kann bei hohen Erträgen und Vorratsaufstockung der N-Saldo geringer werden. In den Folgejahren ist eine Vorratsabstockung dann aber mit höheren N-Salden verbunden. Gegebenenfalls müssen Futterflächen die z.B. von </t>
    </r>
    <r>
      <rPr>
        <b/>
        <sz val="12"/>
        <color theme="1"/>
        <rFont val="Calibri"/>
        <family val="2"/>
        <scheme val="minor"/>
      </rPr>
      <t>Pferden und Rindern gleichzeitig</t>
    </r>
    <r>
      <rPr>
        <sz val="12"/>
        <color theme="1"/>
        <rFont val="Calibri"/>
        <family val="2"/>
        <scheme val="minor"/>
      </rPr>
      <t xml:space="preserve"> genutzt werden, anteilig diesen Tieren zugeordnet werden. Für </t>
    </r>
    <r>
      <rPr>
        <b/>
        <sz val="12"/>
        <color theme="1"/>
        <rFont val="Calibri"/>
        <family val="2"/>
        <scheme val="minor"/>
      </rPr>
      <t>alle Formen der Grünlandnutzung</t>
    </r>
    <r>
      <rPr>
        <sz val="12"/>
        <color theme="1"/>
        <rFont val="Calibri"/>
        <family val="2"/>
        <scheme val="minor"/>
      </rPr>
      <t xml:space="preserve"> (egal ob Schnitt oder Beweidung) gibt es im Tab.blatt "Pflanzenbau" nur den Eintrag "Grünland TM" (TM = Trockenmasse), der mit % Leguminosenanteil und % Rohprotein in der TM versehen werden muss. Um verschiedenen Nutzungsintensitäten gerecht zu werden, können mehrere Zeilen "Grünland TM" angelegt werden.</t>
    </r>
    <r>
      <rPr>
        <b/>
        <sz val="12"/>
        <color theme="1"/>
        <rFont val="Calibri"/>
        <family val="2"/>
        <scheme val="minor"/>
      </rPr>
      <t xml:space="preserve"> Strohzukauf </t>
    </r>
    <r>
      <rPr>
        <sz val="12"/>
        <color theme="1"/>
        <rFont val="Calibri"/>
        <family val="2"/>
        <scheme val="minor"/>
      </rPr>
      <t>zur Einstreu oder als Futter wird im Tab.blatt "Futtermittel Saatgut" erfasst.</t>
    </r>
  </si>
  <si>
    <r>
      <t xml:space="preserve">Beim Betrieb einer </t>
    </r>
    <r>
      <rPr>
        <b/>
        <sz val="12"/>
        <rFont val="Calibri"/>
        <family val="2"/>
        <scheme val="minor"/>
      </rPr>
      <t>Biogasanlage</t>
    </r>
    <r>
      <rPr>
        <sz val="12"/>
        <rFont val="Calibri"/>
        <family val="2"/>
        <scheme val="minor"/>
      </rPr>
      <t xml:space="preserve"> ist folgendes zu beachten: Im Tabellenblatt </t>
    </r>
    <r>
      <rPr>
        <b/>
        <sz val="12"/>
        <color theme="9"/>
        <rFont val="Calibri"/>
        <family val="2"/>
        <scheme val="minor"/>
      </rPr>
      <t>Biogasanlage</t>
    </r>
    <r>
      <rPr>
        <sz val="12"/>
        <rFont val="Calibri"/>
        <family val="2"/>
        <scheme val="minor"/>
      </rPr>
      <t xml:space="preserve"> müssen alle Substratzukäufe sowie alle Verkäufe von Gärresten erfasst werden. Selbst angebaute Substrat-Kulturen sind ohnehin im Tabellenblatt "Ernteprodukte" mit der Verwendung "Verwertung in eigener Biogasanlage" zu erfassen. Bei der Verwertung der eigenen tierischen Wirtschaftsdünger in der eigenen Biogasanlage ist ebenfalls unabhängig von der Vorgehensweise die Verwertung "in eigene Biogasanlage" auszuwählen</t>
    </r>
    <r>
      <rPr>
        <sz val="12"/>
        <color rgb="FFFF0000"/>
        <rFont val="Calibri"/>
        <family val="2"/>
        <scheme val="minor"/>
      </rPr>
      <t>.</t>
    </r>
  </si>
  <si>
    <r>
      <t xml:space="preserve">Das folgende Tabellenblatt </t>
    </r>
    <r>
      <rPr>
        <b/>
        <sz val="12"/>
        <color theme="0" tint="-0.499984740745262"/>
        <rFont val="Calibri"/>
        <family val="2"/>
        <scheme val="minor"/>
      </rPr>
      <t>Betrieb</t>
    </r>
    <r>
      <rPr>
        <sz val="12"/>
        <color theme="1"/>
        <rFont val="Calibri"/>
        <family val="2"/>
        <scheme val="minor"/>
      </rPr>
      <t xml:space="preserve"> dient der Feststellung, ob die Stoffstrombilanz für einen bestimmten Betrieb überhaupt erstellt werden muss. Zum </t>
    </r>
    <r>
      <rPr>
        <b/>
        <sz val="12"/>
        <rFont val="Calibri"/>
        <family val="2"/>
        <scheme val="minor"/>
      </rPr>
      <t xml:space="preserve">Erstellen einer Stoffstrombilanz </t>
    </r>
    <r>
      <rPr>
        <sz val="12"/>
        <rFont val="Calibri"/>
        <family val="2"/>
        <scheme val="minor"/>
      </rPr>
      <t xml:space="preserve">dienen die </t>
    </r>
    <r>
      <rPr>
        <b/>
        <sz val="12"/>
        <rFont val="Calibri"/>
        <family val="2"/>
        <scheme val="minor"/>
      </rPr>
      <t>Tabellenblätter</t>
    </r>
    <r>
      <rPr>
        <sz val="12"/>
        <rFont val="Calibri"/>
        <family val="2"/>
        <scheme val="minor"/>
      </rPr>
      <t xml:space="preserve"> mit den </t>
    </r>
    <r>
      <rPr>
        <b/>
        <sz val="12"/>
        <color theme="9"/>
        <rFont val="Calibri"/>
        <family val="2"/>
        <scheme val="minor"/>
      </rPr>
      <t>grün</t>
    </r>
    <r>
      <rPr>
        <sz val="12"/>
        <rFont val="Calibri"/>
        <family val="2"/>
        <scheme val="minor"/>
      </rPr>
      <t xml:space="preserve"> eingefärbten Reitern.</t>
    </r>
  </si>
  <si>
    <r>
      <t xml:space="preserve">Auf den hinteren Tabellenblättern mit den </t>
    </r>
    <r>
      <rPr>
        <b/>
        <sz val="12"/>
        <color theme="1"/>
        <rFont val="Calibri"/>
        <family val="2"/>
        <scheme val="minor"/>
      </rPr>
      <t>weißen</t>
    </r>
    <r>
      <rPr>
        <sz val="12"/>
        <color theme="1"/>
        <rFont val="Calibri"/>
        <family val="2"/>
        <scheme val="minor"/>
      </rPr>
      <t xml:space="preserve"> </t>
    </r>
    <r>
      <rPr>
        <b/>
        <sz val="12"/>
        <color theme="1"/>
        <rFont val="Calibri"/>
        <family val="2"/>
        <scheme val="minor"/>
      </rPr>
      <t>Reitern</t>
    </r>
    <r>
      <rPr>
        <sz val="12"/>
        <color theme="1"/>
        <rFont val="Calibri"/>
        <family val="2"/>
        <scheme val="minor"/>
      </rPr>
      <t xml:space="preserve"> befinden sich die </t>
    </r>
    <r>
      <rPr>
        <b/>
        <sz val="12"/>
        <color theme="1"/>
        <rFont val="Calibri"/>
        <family val="2"/>
        <scheme val="minor"/>
      </rPr>
      <t>Stammdaten,</t>
    </r>
    <r>
      <rPr>
        <sz val="12"/>
        <color theme="1"/>
        <rFont val="Calibri"/>
        <family val="2"/>
        <scheme val="minor"/>
      </rPr>
      <t xml:space="preserve"> die die Grundlage dieser Anwendung darstellen. In diesen Tabellenblättern können eigene Daten eingetragen werden, z.B. für Gärreste, Mischgülle, Mischfutter, Mischdünger, Komposte etc. Sollten die Felder "(</t>
    </r>
    <r>
      <rPr>
        <sz val="12"/>
        <color rgb="FFFF0000"/>
        <rFont val="Calibri"/>
        <family val="2"/>
        <scheme val="minor"/>
      </rPr>
      <t>eigene Angaben</t>
    </r>
    <r>
      <rPr>
        <sz val="12"/>
        <color theme="1"/>
        <rFont val="Calibri"/>
        <family val="2"/>
        <scheme val="minor"/>
      </rPr>
      <t>)" nicht ausreichen, können Sie weitere hinzufügen, indem Sie leere Zeilen vor dem letzten "(</t>
    </r>
    <r>
      <rPr>
        <sz val="12"/>
        <color rgb="FFFF0000"/>
        <rFont val="Calibri"/>
        <family val="2"/>
        <scheme val="minor"/>
      </rPr>
      <t>eigene Angaben</t>
    </r>
    <r>
      <rPr>
        <sz val="12"/>
        <color theme="1"/>
        <rFont val="Calibri"/>
        <family val="2"/>
        <scheme val="minor"/>
      </rPr>
      <t>)" einfügen (nicht an den Schluss hängen, da die Anwendung solche Zeilen nicht berücksichtigen kann).</t>
    </r>
    <r>
      <rPr>
        <i/>
        <sz val="12"/>
        <color rgb="FFFF0000"/>
        <rFont val="Calibri"/>
        <family val="2"/>
        <scheme val="minor"/>
      </rPr>
      <t xml:space="preserve"> </t>
    </r>
    <r>
      <rPr>
        <sz val="12"/>
        <rFont val="Calibri"/>
        <family val="2"/>
        <scheme val="minor"/>
      </rPr>
      <t>Falls Sie auf die ursprünglichen Werte zurück möchten, ist neben den veränderbaren Tabellen eine Sicherheitskopie hinterlegt.</t>
    </r>
  </si>
  <si>
    <t xml:space="preserve">9. </t>
  </si>
  <si>
    <t>Menge * Gehalt</t>
  </si>
  <si>
    <t>BGA-Gärreste aus eigener Tierhaltung</t>
  </si>
  <si>
    <t>BGA-Gärreste aus eigenem Pflanzenbau</t>
  </si>
  <si>
    <t>BGA-Gärreste aus Substratzukauf</t>
  </si>
  <si>
    <r>
      <t>Platz für Bemerkungen</t>
    </r>
    <r>
      <rPr>
        <sz val="12"/>
        <rFont val="Calibri"/>
        <family val="2"/>
        <scheme val="minor"/>
      </rPr>
      <t xml:space="preserve"> (z.B. wegen Mindererträgen durch Trockenheit oder Hagel etc.)</t>
    </r>
  </si>
  <si>
    <t>Verfütterung</t>
  </si>
  <si>
    <t xml:space="preserve">Milchkuh AL ohne Weide, mit Heu </t>
  </si>
  <si>
    <t>Milchkuh AL ohne Weide, mit Heu,  N-/P-reduziert</t>
  </si>
  <si>
    <r>
      <t>kg P</t>
    </r>
    <r>
      <rPr>
        <b/>
        <vertAlign val="subscript"/>
        <sz val="12"/>
        <rFont val="Calibri"/>
        <family val="2"/>
        <scheme val="minor"/>
      </rPr>
      <t>2</t>
    </r>
    <r>
      <rPr>
        <b/>
        <sz val="12"/>
        <rFont val="Calibri"/>
        <family val="2"/>
        <scheme val="minor"/>
      </rPr>
      <t>O</t>
    </r>
    <r>
      <rPr>
        <b/>
        <vertAlign val="subscript"/>
        <sz val="12"/>
        <rFont val="Calibri"/>
        <family val="2"/>
        <scheme val="minor"/>
      </rPr>
      <t>5</t>
    </r>
  </si>
  <si>
    <r>
      <t>kg K</t>
    </r>
    <r>
      <rPr>
        <b/>
        <vertAlign val="subscript"/>
        <sz val="12"/>
        <rFont val="Calibri"/>
        <family val="2"/>
        <scheme val="minor"/>
      </rPr>
      <t>2</t>
    </r>
    <r>
      <rPr>
        <b/>
        <sz val="12"/>
        <rFont val="Calibri"/>
        <family val="2"/>
        <scheme val="minor"/>
      </rPr>
      <t>O</t>
    </r>
  </si>
  <si>
    <t>Bei reinen Marktfruchtbetrieben gibt es keinen Unterschied zwischen dem weggefallenen Nährstoffvergleich und Stoffstrombilanz. Diese Unterschiede treten erst bei Viehhaltung auf (wegen der Erfassung von Futtermitteln und Tieren, tierischen Produkten…).</t>
  </si>
  <si>
    <t>Milchkuh GL ohne Weide , mit Heu, N- /P-reduziert</t>
  </si>
  <si>
    <t>Milchkuh GL ohne Weide mit Heu, N-/P-reduziert</t>
  </si>
  <si>
    <t>0,0025x + 98</t>
  </si>
  <si>
    <t>0,0045x + 96</t>
  </si>
  <si>
    <t>0,005x + 56</t>
  </si>
  <si>
    <t>0,005x + 76</t>
  </si>
  <si>
    <t>0,005x + 80</t>
  </si>
  <si>
    <t>Milchkuh AL ohne Weide mit Heu, N-/P-reduziert</t>
  </si>
  <si>
    <t>0,006x + 58</t>
  </si>
  <si>
    <t>0,0028x + 75</t>
  </si>
  <si>
    <t>0,004x + 60</t>
  </si>
  <si>
    <r>
      <t>Berechnung des zulässigen N-Bilanzwertes</t>
    </r>
    <r>
      <rPr>
        <sz val="12"/>
        <rFont val="Calibri"/>
        <family val="2"/>
        <scheme val="minor"/>
      </rPr>
      <t xml:space="preserve"> (erforderlich für flächenlose Betriebe oder wenn der Saldo von 175 kg N/ha überschritten wird)</t>
    </r>
  </si>
  <si>
    <t xml:space="preserve">Grobfutterverkauf hier nur eintragen, wenn das auf eigenen Flächen erworbene Grobfutter für die eigene Tierhaltung geplant war, dann aber doch an andere Betriebe abgegeben wurde. D.h. wenn die Mengenangabe einer Flächengröße nicht mehr zugeordnet werden kann.  Beim von vorneherein geplanten Verkauf von Ernten des Futterbaus oder beim Verkauf kompletter Flächenerträge, wo die Mengenabgabe einer  Flächengröße zugeordnet werden kann, geben Sie bei der Verwertung im Tabellenblatt "Pflanzenbau" "Vermarktung" an! </t>
  </si>
  <si>
    <t>Einstreu</t>
  </si>
  <si>
    <t>Verfütterung Nichtwiederkäuer</t>
  </si>
  <si>
    <t>Wenn Sie eine gelb unterlegte Zelle (mit einer "dropdown"-Liste) auswählen (dort steht z.B. "leer"), muss sich ein ein Fenster mit mehreren Auswahlmöglichkeit öffnen. Öffnet sich nichts, ist wahrscheinlich die von Ihnen benutzte Excel-Version zu alt. Überschreiben der Zelle funktioniert in der Regel nicht, allenfalls bei absoluter Gleichheit der in den Datentabellen hinterlegten Schreibweisen.</t>
  </si>
  <si>
    <r>
      <t>Mit dieser Tabellenkalkulation auf Basis von Excel</t>
    </r>
    <r>
      <rPr>
        <sz val="12"/>
        <color theme="1"/>
        <rFont val="Calibri"/>
        <family val="2"/>
      </rPr>
      <t>©</t>
    </r>
    <r>
      <rPr>
        <sz val="12"/>
        <color theme="1"/>
        <rFont val="Calibri"/>
        <family val="2"/>
        <scheme val="minor"/>
      </rPr>
      <t xml:space="preserve"> können landwirtschaftliche Betriebe mit Marktfruchtbau, Weinbau, Gemüsebau, Arznei- &amp; Gewürzpflanzen, sowie Viehhaltungsbetriebe und Betriebe mit Biogasanlagen eine </t>
    </r>
    <r>
      <rPr>
        <b/>
        <sz val="12"/>
        <color theme="1"/>
        <rFont val="Calibri"/>
        <family val="2"/>
        <scheme val="minor"/>
      </rPr>
      <t>Stoffstrombilanz</t>
    </r>
    <r>
      <rPr>
        <sz val="12"/>
        <color theme="1"/>
        <rFont val="Calibri"/>
        <family val="2"/>
        <scheme val="minor"/>
      </rPr>
      <t xml:space="preserve"> (SSB), die im Prinzip eine "Hoftorbilanz" ist, gemäß der Stoffstrombilanzverordnung vom Dezember 2017 erstellen.</t>
    </r>
  </si>
  <si>
    <t xml:space="preserve"> Saatgutzukauf</t>
  </si>
  <si>
    <t>Nein</t>
  </si>
  <si>
    <r>
      <rPr>
        <b/>
        <sz val="12"/>
        <color theme="1"/>
        <rFont val="Calibri"/>
        <family val="2"/>
        <scheme val="minor"/>
      </rPr>
      <t>Hinweis:</t>
    </r>
    <r>
      <rPr>
        <sz val="12"/>
        <color theme="1"/>
        <rFont val="Calibri"/>
        <family val="2"/>
        <scheme val="minor"/>
      </rPr>
      <t xml:space="preserve"> Für Flächen in nicht mit Nitrat belasteten Gebieten und in mit Nitrat belasten Gebieten besteht für Betriebe mit Gemüsekulturen und Erdbeeren zu jeder Kultur eine bewirtschaftungseinheitliche oder schlagspezifische N-Bodenuntersuchungspflicht. </t>
    </r>
  </si>
  <si>
    <t>0,0075x + 47,4</t>
  </si>
  <si>
    <t>0,009x + 23</t>
  </si>
  <si>
    <t>0,0075x + 45</t>
  </si>
  <si>
    <t>0,009x + 24</t>
  </si>
  <si>
    <t>0,0073x + 51</t>
  </si>
  <si>
    <t>0,0085x + 32</t>
  </si>
  <si>
    <t>0,005x 56</t>
  </si>
  <si>
    <t>0,0035x + 51</t>
  </si>
  <si>
    <t>0,003x + 59</t>
  </si>
  <si>
    <t>0,0015 x + 19,5</t>
  </si>
  <si>
    <t>0,0015x + 18,5</t>
  </si>
  <si>
    <t>0,0015x + 17</t>
  </si>
  <si>
    <t>0,0015x + 17,5</t>
  </si>
  <si>
    <t>0,001x + 18,3</t>
  </si>
  <si>
    <t>0,001x + 20,4</t>
  </si>
  <si>
    <t>0,0015x + 24</t>
  </si>
  <si>
    <t>0,0015 x + 26</t>
  </si>
  <si>
    <t>0,001x + 27</t>
  </si>
  <si>
    <t>0,001x + 31,5</t>
  </si>
  <si>
    <t>0,0015x + 23,5</t>
  </si>
  <si>
    <t xml:space="preserve">Die hier aufgeführten Tabellenwerte wurden der Excel-Anwendung "Nährstoffbilanz" des DLR Rheinpfalz übernommen. </t>
  </si>
  <si>
    <t>Diese Tabelle ist nicht mit der übrigen Anwendung verknüpft (die Auswahlmenüs der Marktfruchtkulturen wären sonst zu unübersichtlich). Sie können jedoch, falls Sie hier aufgeführte Kulturen des Gemüsebaus oder der Arznei- und Gewürzpflanzen anbauen, die Angaben (Name und Nährstoffgehalte) kopieren und in das Tabellenblatt "Daten Ernteprodukte" einfügen (am einfachsten in Zeile 47-50, aber auch durch Einfügen neuer Zeilen oberhalb Zeile 50 oder durch Überschreiben dort vorhandener, von Ihnen nicht benötigten Kulturen).</t>
  </si>
  <si>
    <t>Betrieben, die ausschließlich oder weit überwiegend Gemüsekulturen anbauen, wird die Nutzung des Excel-Programms "Nährstoffbilanz" der Gemüsebauberatung des DLR Rheinpfalz empfohlen.</t>
  </si>
  <si>
    <r>
      <t xml:space="preserve">Gemüse </t>
    </r>
    <r>
      <rPr>
        <sz val="12"/>
        <rFont val="Calibri"/>
        <family val="2"/>
        <scheme val="minor"/>
      </rPr>
      <t>(Freiland u. Gewächshaus)</t>
    </r>
  </si>
  <si>
    <t>Nährstoffgehalt</t>
  </si>
  <si>
    <t>Arznei- und Gewürzpflanzen</t>
  </si>
  <si>
    <t>Marktertrag dt/ha FM</t>
  </si>
  <si>
    <t xml:space="preserve"> Vorschlag</t>
  </si>
  <si>
    <t>Ackerschachtelhalm_Kraut (sterile Triebe)</t>
  </si>
  <si>
    <t>Aubergine, Unterglas/Folienhaus</t>
  </si>
  <si>
    <t>Alant_Wurzeln</t>
  </si>
  <si>
    <t>Blumenkohl</t>
  </si>
  <si>
    <t>Alant_Krauternterückstände</t>
  </si>
  <si>
    <t>Brokkoli</t>
  </si>
  <si>
    <t>Ampfer, Krauser_Kraut nach der Blüte</t>
  </si>
  <si>
    <t>Ampfer, Wiesen-_Blatt</t>
  </si>
  <si>
    <t>Anis_Samen (Droge!)</t>
  </si>
  <si>
    <t>Anis_Stroh, Samenernterückst.</t>
  </si>
  <si>
    <t>Chinakohl, Unterglas</t>
  </si>
  <si>
    <t>Artischocke (Kardone)_Kraut</t>
  </si>
  <si>
    <t>Arzneifenchel_Früchte (Droge!)</t>
  </si>
  <si>
    <t>Dill, Industrie</t>
  </si>
  <si>
    <t>Arzneifenchel_Kraut ohne Früchte</t>
  </si>
  <si>
    <t>Dill, Frischmarkt</t>
  </si>
  <si>
    <t>Arzneirhabarber_Wurzeln</t>
  </si>
  <si>
    <t>Arzneirhabarber_Krauternterückstände</t>
  </si>
  <si>
    <t>Bärlauch_Blätter</t>
  </si>
  <si>
    <t>Baikal-Helmkraut_Wurzeln</t>
  </si>
  <si>
    <t>Baikal-Helmkraut_Krauternterückstände</t>
  </si>
  <si>
    <t>Baldrian_Wurzeln</t>
  </si>
  <si>
    <t>Gurke, Salat-, Unterglas/Folienhaus</t>
  </si>
  <si>
    <t>Baldrian_Krauternterückstände</t>
  </si>
  <si>
    <t>Basilikum_Kraut b. Blühbeginn</t>
  </si>
  <si>
    <t>Bergarnika_Blütenkörbe</t>
  </si>
  <si>
    <t>Knollenfenchel, Unterglas/Folienhaus</t>
  </si>
  <si>
    <t>Bergarnika_Krauternterückstände</t>
  </si>
  <si>
    <t>Bergarnika_Wurzeln</t>
  </si>
  <si>
    <t>Kohlrabi, Unterglas/Folienhaus</t>
  </si>
  <si>
    <t>Bergbohnenkraut_Blühendes Kraut</t>
  </si>
  <si>
    <t>Besenbeifuß (A. scoparia)_Kraut</t>
  </si>
  <si>
    <t>Bibernelle, Kleine_Wurzeln</t>
  </si>
  <si>
    <t>Bibernelle, Kleine_Krauternterückstände</t>
  </si>
  <si>
    <t>Mangold (vorläufige Daten)</t>
  </si>
  <si>
    <t>Blaue Malve, blüh. Kraut_Blühendes Kraut</t>
  </si>
  <si>
    <t>Blaue Malve, Blüten_Blüten</t>
  </si>
  <si>
    <t>Blaue Malve, Blüten_Blütenernterückstand</t>
  </si>
  <si>
    <t>Bockshornklee_Samen (Droge!)</t>
  </si>
  <si>
    <t>Bockshornklee_Krauternterückstände</t>
  </si>
  <si>
    <t>Bohnenkraut, einjährig_Blühendes Kraut</t>
  </si>
  <si>
    <t>Borretsch_Blühendes Kraut</t>
  </si>
  <si>
    <t>Pak Choi (vorläufige Daten)</t>
  </si>
  <si>
    <t>Braunelle_Kraut zu Ende der Blüte</t>
  </si>
  <si>
    <t>Brennnessel, Große_Nicht blühendes Kraut</t>
  </si>
  <si>
    <t>Paprika, Unterglas/Folienhaus</t>
  </si>
  <si>
    <t>Brennnessel, Große_Wurzeln</t>
  </si>
  <si>
    <t>Brennnessel, Kleine_Blühendes Kraut</t>
  </si>
  <si>
    <t>Petersilie, Blatt-, 1. Schnitt</t>
  </si>
  <si>
    <t>Brunnenkresse_Kraut</t>
  </si>
  <si>
    <t>Petersilie, Blatt-, weiterer Schnitt</t>
  </si>
  <si>
    <t>Dill, Frischmarkt_Kraut</t>
  </si>
  <si>
    <t>Petersilie, Blatt-, 1. Schnitt, Unterglas/Folienh.</t>
  </si>
  <si>
    <t>Dill, Industrieware_Kraut b. Knospenansatz</t>
  </si>
  <si>
    <t>Petersile, Blatt-, weiterer Schnitt, Unterglas/Folienh.</t>
  </si>
  <si>
    <t>Dost, Oregano_Blühendes Kraut</t>
  </si>
  <si>
    <t>Drachenkopf_Blühendes Kraut</t>
  </si>
  <si>
    <t>Eibisch_Wurzeln</t>
  </si>
  <si>
    <t>Portulak, Sommer bis 1. Schnitt (vorläufige Daten)</t>
  </si>
  <si>
    <t>Eibisch_Krauternterückstände</t>
  </si>
  <si>
    <t>Portulak, Sommer nach einem Schnitt (vorläufige Daten)</t>
  </si>
  <si>
    <t>Eisenkraut, Echtes_Kraut</t>
  </si>
  <si>
    <t>Portulak, Winter- (Postelein) bis 1. Schnitt (vorläufige Daten)</t>
  </si>
  <si>
    <t>Engelwurz, Chinesische_Wurzeln</t>
  </si>
  <si>
    <t>Portulak, Winter- (Postelein) nach einem Schnitt (vorläufige Daten)</t>
  </si>
  <si>
    <t>Engelwurz, Chinesische_Krauternterückstände</t>
  </si>
  <si>
    <t>Engelwurz, Europäische_Wurzeln</t>
  </si>
  <si>
    <t>Radieschen, Unterglas/Folienhaus</t>
  </si>
  <si>
    <t>Engelwurz, Europäische_Krauternterückstände</t>
  </si>
  <si>
    <t>Enzian_Wurzeln nach 4 Jahren</t>
  </si>
  <si>
    <t>Estragon, Deutscher_Nicht blühendes Kraut</t>
  </si>
  <si>
    <t>Färberdistel_Samen</t>
  </si>
  <si>
    <t>Rettich, Bund, Unterglas/Folienhaus</t>
  </si>
  <si>
    <t>Färberdistel_Stroh, Samenernterückst.</t>
  </si>
  <si>
    <t>Rettich, deutsch, Unterglas/Folienhaus</t>
  </si>
  <si>
    <t>Frauenmantel_Blühendes Kraut</t>
  </si>
  <si>
    <t>Galega (Geißraute)_Kraut</t>
  </si>
  <si>
    <t>Gartenkresse_Kraut</t>
  </si>
  <si>
    <t>Goldrute_Blühhorizont</t>
  </si>
  <si>
    <t>Johanniskraut_Blühendes Kraut</t>
  </si>
  <si>
    <t>Rosenkohl, Röschen</t>
  </si>
  <si>
    <t>Kamille_Blüten, Blühhorizont</t>
  </si>
  <si>
    <t>Rote Rüben, Baby Beet (vorläufige Daten)</t>
  </si>
  <si>
    <t>Kamille_Kraut ohne Blüten</t>
  </si>
  <si>
    <t>Rote Rübe, Knolle</t>
  </si>
  <si>
    <t>Kapuzinerkresse_Blühendes Kraut</t>
  </si>
  <si>
    <t>Kerbel_Kraut</t>
  </si>
  <si>
    <t>Knoblauch_Zwiebel ganz</t>
  </si>
  <si>
    <t>Knoblauch_Krauternterückstände</t>
  </si>
  <si>
    <t>Koriander, Kraut_Kraut für Blattdroge</t>
  </si>
  <si>
    <t>Rucola, Feinware, Unterglas/Folienhaus</t>
  </si>
  <si>
    <t>Koriander_Samen (Droge!)</t>
  </si>
  <si>
    <t>Rucola, Grobware, Unterglas/Folienhaus</t>
  </si>
  <si>
    <t>Koriander_Stroh, Samenernterückst.</t>
  </si>
  <si>
    <t>Kornblume, blüh. Kraut_Blühendes Kraut</t>
  </si>
  <si>
    <t>Salate, Baby Leaf, Unterglas/Folienhaus</t>
  </si>
  <si>
    <t>Kornblume, Blüten_Blüten</t>
  </si>
  <si>
    <t>Kornblume, Blüten_Kraut ohne Blüten</t>
  </si>
  <si>
    <t>Salate, Blatt grün Unterglas/Folienhaus</t>
  </si>
  <si>
    <t>Kümmel_Früchte (Droge!)</t>
  </si>
  <si>
    <t>Kümmel_Kraut ohne Früchte</t>
  </si>
  <si>
    <t>Salate, Blatt rot (Lollo, Eichblatt, Krull), Unterglas/Folienhaus</t>
  </si>
  <si>
    <t>Lavendel_Blütenähren</t>
  </si>
  <si>
    <t>Salate, Eissalat x Romana, Crunchy Cos (vorläufige Daten)</t>
  </si>
  <si>
    <t>Liebstöckel_Nicht blühendes Kraut</t>
  </si>
  <si>
    <t>Liebstöckel_Wurzeln</t>
  </si>
  <si>
    <t>Löwenzahn_Kraut</t>
  </si>
  <si>
    <t>Mädesüß_Blühendes Kraut</t>
  </si>
  <si>
    <t>Salate, Endivien, Frisee, Unterglas/Folienhaus</t>
  </si>
  <si>
    <t>Majoran_Kraut bei Blühbeginn</t>
  </si>
  <si>
    <t>Salate, Endivien, glattblättrig, Unterglas/Folienhaus</t>
  </si>
  <si>
    <t>Mariendistel_Samen (Droge!)</t>
  </si>
  <si>
    <t>Mariendistel_Stroh, Samenernterückst.</t>
  </si>
  <si>
    <t>Salate, Kopfsalat, Unterglas/Folienhaus</t>
  </si>
  <si>
    <t>Meerrettich_Wurzeln</t>
  </si>
  <si>
    <t>Meerrettich_Krauternterückstände</t>
  </si>
  <si>
    <t>Melde_Kraut</t>
  </si>
  <si>
    <t>Mohn_Samen und Kapseln</t>
  </si>
  <si>
    <t>Mohn_Stroh, Samenernterückst.</t>
  </si>
  <si>
    <t>Muskatteller Salbei_Blühendes Kraut</t>
  </si>
  <si>
    <t>Schnittlauch, 1. Schnitt</t>
  </si>
  <si>
    <t>Mutterkraut (T. parthenium)_Blühendes Kraut</t>
  </si>
  <si>
    <t>Schnittlauch, weiterer Schnitt</t>
  </si>
  <si>
    <t>Mutterkraut, Chin. (L. jap.)_Blühendes Kraut</t>
  </si>
  <si>
    <t>Schnittlauch, Anbau für Treiberei</t>
  </si>
  <si>
    <t>Nachtkerze_Samen (Droge!)</t>
  </si>
  <si>
    <t>Nachtkerze_Stroh, Samenernterückst.</t>
  </si>
  <si>
    <t>Petersilie, Blatt-_Blätter bis 1. Schnitt</t>
  </si>
  <si>
    <t>Petersilie, Blatt-_Blatt nach 1 Schnitt</t>
  </si>
  <si>
    <t>Petersilie, Blatt-_Stängel</t>
  </si>
  <si>
    <t>Sellerie, Bund, Unterglas/Folienhaus</t>
  </si>
  <si>
    <t>Pfefferminze, Minzen_Nicht blühendes Kraut</t>
  </si>
  <si>
    <t>Ringelblume, blüh. Kraut_Blühendes Kraut</t>
  </si>
  <si>
    <t>Ringelblume, Blüte_Blütenkörbe</t>
  </si>
  <si>
    <t>Ringelblume, Blüte_Kraut ohne Blüten</t>
  </si>
  <si>
    <t>Rosmarin_Nicht blühendes Kraut</t>
  </si>
  <si>
    <t>Rotwurzelsalbei (S. miltior.)_Wurzeln</t>
  </si>
  <si>
    <t>Rotwurzelsalbei (S. miltior.)_Krauternterückstände</t>
  </si>
  <si>
    <t>Salbei (Salvia officinalis)_Nicht blühendes Kraut</t>
  </si>
  <si>
    <t>Saposhnikovia_Wurzel</t>
  </si>
  <si>
    <t>Saposhnikovia_Krauternterückstände</t>
  </si>
  <si>
    <t>Schabzigerklee_Blühendes Kraut</t>
  </si>
  <si>
    <t>Schafgarbe_Blühhorizont</t>
  </si>
  <si>
    <t>Schlüsselblume_Wurzeln</t>
  </si>
  <si>
    <t>Schlüsselblume_Krauternterückstände</t>
  </si>
  <si>
    <t>Schnittlauch_Kraut, bis 1. Schnitt</t>
  </si>
  <si>
    <t>Schnittlauch, nach 1. Schnitt_gesät, nach 1 Schnitt</t>
  </si>
  <si>
    <t>Spinat, Blatt-, Standard, Unterglas/Folienhaus</t>
  </si>
  <si>
    <t>Schnittlauch, für Treiberei_Anbau f. Treiberei</t>
  </si>
  <si>
    <t>Schöllkraut_Blühendes Kraut</t>
  </si>
  <si>
    <t>Süßkartoffel Knolle (vorläufige Daten)</t>
  </si>
  <si>
    <t>Senf, Brauner_Samen</t>
  </si>
  <si>
    <t>Senf, Brauner_Stroh, Samenernterückst.</t>
  </si>
  <si>
    <t>Tomate, Unterglas/Folienhaus</t>
  </si>
  <si>
    <t>Senf, Gelber/Weißer_Samen</t>
  </si>
  <si>
    <t>Senf, Gelber/Weißer_Stroh, Samenernterückst.</t>
  </si>
  <si>
    <t>Siegesbeckia_Blühendes Kraut</t>
  </si>
  <si>
    <t>Sonnenhut (E.angustifolia)_Blühendes Kraut</t>
  </si>
  <si>
    <t>Sonnenhut (E.angustifolia)_Wurzeln (jährl. Zuwachs)</t>
  </si>
  <si>
    <t>Sonnenhut (E.angustifolia)_Wurzeln</t>
  </si>
  <si>
    <t>Sonnenhut (E.pallida)_Blühendes Kraut</t>
  </si>
  <si>
    <t>Sonnenhut (E.pallida)_Wurzeln (jährl. Zuwachs)</t>
  </si>
  <si>
    <t>Sonnenhut (E.pallida)_Wurzeln</t>
  </si>
  <si>
    <t>Sonnenhut (E.purpurea)_Blühendes Kraut</t>
  </si>
  <si>
    <t>Sonnenhut (E.purpurea)_Wurzeln (jährl. Zuwachs)</t>
  </si>
  <si>
    <t>Sonnenhut (E.purpurea)_Wurzeln</t>
  </si>
  <si>
    <t>Spitzwegerich_Kraut</t>
  </si>
  <si>
    <t>Steinklee, Gelber_Blühendes Kraut</t>
  </si>
  <si>
    <t>Schwarzkümmel_Samen (Droge!)</t>
  </si>
  <si>
    <t>Schwarzkümmel_Stroh</t>
  </si>
  <si>
    <t>Thymian_Blühendes Kraut</t>
  </si>
  <si>
    <t>Tollkirsche_Kraut</t>
  </si>
  <si>
    <t>Tragant, Chinesischer_Wurzeln</t>
  </si>
  <si>
    <t>Tragant, Chinesischer_Krauternterückstände</t>
  </si>
  <si>
    <t>Wermut, Beifuß_Nicht blühendes Kraut</t>
  </si>
  <si>
    <t>Ysop_Blühendes Kraut</t>
  </si>
  <si>
    <t>Zitronenmelisse_Nicht blühendes Kraut</t>
  </si>
  <si>
    <t>Zitronenmelisse_Stängel</t>
  </si>
  <si>
    <t>Zitronenmelisse_Blätter</t>
  </si>
  <si>
    <r>
      <t>Falls neben anderen Marktfrüchten auch</t>
    </r>
    <r>
      <rPr>
        <b/>
        <sz val="12"/>
        <color theme="1"/>
        <rFont val="Calibri"/>
        <family val="2"/>
        <scheme val="minor"/>
      </rPr>
      <t xml:space="preserve"> Gemüsekulturen oder Arznei- und Gewürzpflanzen</t>
    </r>
    <r>
      <rPr>
        <sz val="12"/>
        <color theme="1"/>
        <rFont val="Calibri"/>
        <family val="2"/>
        <scheme val="minor"/>
      </rPr>
      <t xml:space="preserve"> angebaut werden, stehen im Tabellenblatt "Daten Gemüse Arznei Gewürz" deren Nährstoffgehalte, um sie anstelle dort nicht benötigter Kulturen im Tabellenblatt "Daten Ernteprodukte" einfügen zu können. Betrieben, die ausschließlich Gemüse oder Arznei- und Gewürzpflanzen anbauen, wird die Nutzung der Excel-Anwendung "Nährstoffbilanz" der staatlichen Gartenbauberatung des DLR Rheinpfalz empfohlen.</t>
    </r>
  </si>
  <si>
    <t xml:space="preserve">Die Version SSB-RLP 1.8 wurde von Ann-Christin Alzer, Projektmitarbeiterin im DLR R-N-H erstellt. </t>
  </si>
  <si>
    <r>
      <t xml:space="preserve">Betriebe, die insbesondere </t>
    </r>
    <r>
      <rPr>
        <b/>
        <sz val="12"/>
        <color theme="1"/>
        <rFont val="Calibri"/>
        <family val="2"/>
        <scheme val="minor"/>
      </rPr>
      <t>neben Ackerbau auch Weinbau betreiben</t>
    </r>
    <r>
      <rPr>
        <sz val="12"/>
        <color theme="1"/>
        <rFont val="Calibri"/>
        <family val="2"/>
        <scheme val="minor"/>
      </rPr>
      <t xml:space="preserve">, finden im Tabellenblatt </t>
    </r>
    <r>
      <rPr>
        <b/>
        <sz val="12"/>
        <color theme="9"/>
        <rFont val="Calibri"/>
        <family val="2"/>
        <scheme val="minor"/>
      </rPr>
      <t>Pflanzenbau</t>
    </r>
    <r>
      <rPr>
        <sz val="12"/>
        <color theme="1"/>
        <rFont val="Calibri"/>
        <family val="2"/>
        <scheme val="minor"/>
      </rPr>
      <t xml:space="preserve"> im Abschnitt Marktfruchtkulturen auch die Ernteprodukte des Weinbaus. Unterhalb dessen können im Abschnitt "Zweit- und Zwischenfrüchte ..." die Begrünungen der Rebflächen erfasst werden, um die N-Bindung der Leguminosen zu berechnen. Betrieben, die ausschließlich Wein anbauen, wird die Nutzung der Excel-Anwendung "Nährstoffvergleich Weinbau" der staatlichen Weinbauberatung empfohlen.</t>
    </r>
  </si>
  <si>
    <t xml:space="preserve">50 kg N/ha * ha </t>
  </si>
  <si>
    <t>Ann-Christin Alzer, DLR R-N-H, Bad Kreuznach, im Juni 2021</t>
  </si>
  <si>
    <t>Angaben zum Betrieb und Prüfung der Notwendigkeit, ob eine Stoffstrombilanz (SSB) erstellt werden muss.</t>
  </si>
  <si>
    <t>selbst erzeugte Wirtschafts-dünger tierischer Herkunft</t>
  </si>
  <si>
    <r>
      <rPr>
        <b/>
        <sz val="20"/>
        <color theme="1"/>
        <rFont val="Calibri"/>
        <family val="2"/>
        <scheme val="minor"/>
      </rPr>
      <t xml:space="preserve">Biogasanlage                                                                                    </t>
    </r>
    <r>
      <rPr>
        <b/>
        <sz val="14"/>
        <color theme="1"/>
        <rFont val="Calibri"/>
        <family val="2"/>
        <scheme val="minor"/>
      </rPr>
      <t xml:space="preserve">Substratzukäufe und Gärrestverkäufe </t>
    </r>
  </si>
  <si>
    <t xml:space="preserve">Aufnahme von Gärsubstraten pflanzlicher Herkunft                                                                  von anderen Betrieben </t>
  </si>
  <si>
    <t xml:space="preserve">Aufnahme von Wirtschaftsdüngern als Gärsubstrat                                                                             von anderen Betrieben </t>
  </si>
  <si>
    <t xml:space="preserve">Verkäufe bzw. Abgabe von eigenen Gärresten                                                  </t>
  </si>
  <si>
    <t>SSB-RLP, Vers. 1.8,   21.06.2021</t>
  </si>
  <si>
    <t>SSB-RLP</t>
  </si>
  <si>
    <r>
      <rPr>
        <b/>
        <sz val="12"/>
        <color theme="1"/>
        <rFont val="Calibri"/>
        <family val="2"/>
        <scheme val="minor"/>
      </rPr>
      <t>Viehhalt. Betr.</t>
    </r>
    <r>
      <rPr>
        <sz val="12"/>
        <color theme="1"/>
        <rFont val="Calibri"/>
        <family val="2"/>
        <scheme val="minor"/>
      </rPr>
      <t xml:space="preserve"> mit </t>
    </r>
    <r>
      <rPr>
        <b/>
        <sz val="12"/>
        <color theme="1"/>
        <rFont val="Calibri"/>
        <family val="2"/>
        <scheme val="minor"/>
      </rPr>
      <t>mehr als 750 kg Ges.-N aus eig. Wirtschaftsdg. tier. Herkunft</t>
    </r>
    <r>
      <rPr>
        <sz val="12"/>
        <color theme="1"/>
        <rFont val="Calibri"/>
        <family val="2"/>
        <scheme val="minor"/>
      </rPr>
      <t xml:space="preserve"> </t>
    </r>
    <r>
      <rPr>
        <b/>
        <sz val="12"/>
        <color theme="1"/>
        <rFont val="Calibri"/>
        <family val="2"/>
        <scheme val="minor"/>
      </rPr>
      <t>oder Zufuhr</t>
    </r>
    <r>
      <rPr>
        <sz val="12"/>
        <color theme="1"/>
        <rFont val="Calibri"/>
        <family val="2"/>
        <scheme val="minor"/>
      </rPr>
      <t xml:space="preserve"> von </t>
    </r>
    <r>
      <rPr>
        <b/>
        <sz val="12"/>
        <color theme="1"/>
        <rFont val="Calibri"/>
        <family val="2"/>
        <scheme val="minor"/>
      </rPr>
      <t>mehr als 750 kg Ges.-N</t>
    </r>
    <r>
      <rPr>
        <sz val="12"/>
        <color theme="1"/>
        <rFont val="Calibri"/>
        <family val="2"/>
        <scheme val="minor"/>
      </rPr>
      <t xml:space="preserve"> durch </t>
    </r>
    <r>
      <rPr>
        <b/>
        <sz val="12"/>
        <color theme="1"/>
        <rFont val="Calibri"/>
        <family val="2"/>
        <scheme val="minor"/>
      </rPr>
      <t>betriebsfremde Wirtschaftsdg. incl. Gärreste</t>
    </r>
    <r>
      <rPr>
        <sz val="12"/>
        <color theme="1"/>
        <rFont val="Calibri"/>
        <family val="2"/>
        <scheme val="minor"/>
      </rPr>
      <t xml:space="preserve"> und </t>
    </r>
    <r>
      <rPr>
        <b/>
        <sz val="12"/>
        <color theme="1"/>
        <rFont val="Calibri"/>
        <family val="2"/>
        <scheme val="minor"/>
      </rPr>
      <t>Überschreitung der Kontrollwerte (Nährstoffsalden) im letztjährigen NV</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</si>
</sst>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
    <numFmt numFmtId="165" formatCode="_-* #,##0.000\ _€_-;\-* #,##0.000\ _€_-;_-* &quot;-&quot;??\ _€_-;_-@_-"/>
    <numFmt numFmtId="166" formatCode="0.000"/>
    <numFmt numFmtId="167" formatCode="0.000000"/>
    <numFmt numFmtId="168" formatCode="0.00000"/>
    <numFmt numFmtId="169" formatCode="0.0000"/>
    <numFmt numFmtId="170" formatCode="#,##0.000"/>
  </numFmts>
  <fonts count="113">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1"/>
      <color theme="1"/>
      <name val="Calibri"/>
      <family val="2"/>
      <scheme val="minor"/>
    </font>
    <font>
      <sz val="12"/>
      <color theme="1"/>
      <name val="Calibri"/>
      <family val="2"/>
      <scheme val="minor"/>
    </font>
    <font>
      <b/>
      <sz val="12"/>
      <color theme="1"/>
      <name val="Calibri"/>
      <family val="2"/>
      <scheme val="minor"/>
    </font>
    <font>
      <b/>
      <vertAlign val="subscript"/>
      <sz val="12"/>
      <color theme="1"/>
      <name val="Calibri"/>
      <family val="2"/>
      <scheme val="minor"/>
    </font>
    <font>
      <sz val="9"/>
      <color indexed="81"/>
      <name val="Segoe UI"/>
      <family val="2"/>
    </font>
    <font>
      <sz val="11"/>
      <color rgb="FFFF0000"/>
      <name val="Calibri"/>
      <family val="2"/>
      <scheme val="minor"/>
    </font>
    <font>
      <sz val="12"/>
      <color rgb="FFFF0000"/>
      <name val="Calibri"/>
      <family val="2"/>
      <scheme val="minor"/>
    </font>
    <font>
      <sz val="12"/>
      <name val="Calibri"/>
      <family val="2"/>
      <scheme val="minor"/>
    </font>
    <font>
      <b/>
      <sz val="12"/>
      <name val="Calibri"/>
      <family val="2"/>
      <scheme val="minor"/>
    </font>
    <font>
      <b/>
      <u/>
      <sz val="14"/>
      <color theme="1"/>
      <name val="Calibri"/>
      <family val="2"/>
      <scheme val="minor"/>
    </font>
    <font>
      <sz val="10"/>
      <name val="Geneva"/>
    </font>
    <font>
      <b/>
      <sz val="14"/>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2"/>
      <name val="Calibri"/>
      <family val="2"/>
      <scheme val="minor"/>
    </font>
    <font>
      <b/>
      <vertAlign val="subscript"/>
      <sz val="11"/>
      <color theme="1"/>
      <name val="Calibri"/>
      <family val="2"/>
      <scheme val="minor"/>
    </font>
    <font>
      <sz val="10"/>
      <name val="Arial"/>
      <family val="2"/>
    </font>
    <font>
      <b/>
      <sz val="12"/>
      <name val="Arial"/>
      <family val="2"/>
    </font>
    <font>
      <vertAlign val="subscript"/>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b/>
      <sz val="11"/>
      <color rgb="FFFF0000"/>
      <name val="Calibri"/>
      <family val="2"/>
      <scheme val="minor"/>
    </font>
    <font>
      <b/>
      <sz val="10"/>
      <color theme="1"/>
      <name val="Calibri"/>
      <family val="2"/>
      <scheme val="minor"/>
    </font>
    <font>
      <b/>
      <sz val="12"/>
      <color theme="4" tint="-0.499984740745262"/>
      <name val="Calibri"/>
      <family val="2"/>
      <scheme val="minor"/>
    </font>
    <font>
      <b/>
      <sz val="12"/>
      <color rgb="FFFF0000"/>
      <name val="Calibri"/>
      <family val="2"/>
      <scheme val="minor"/>
    </font>
    <font>
      <b/>
      <sz val="12"/>
      <color theme="0" tint="-0.499984740745262"/>
      <name val="Calibri"/>
      <family val="2"/>
      <scheme val="minor"/>
    </font>
    <font>
      <sz val="14"/>
      <color theme="1"/>
      <name val="Calibri"/>
      <family val="2"/>
      <scheme val="minor"/>
    </font>
    <font>
      <b/>
      <sz val="9"/>
      <color theme="0" tint="-0.499984740745262"/>
      <name val="Calibri"/>
      <family val="2"/>
      <scheme val="minor"/>
    </font>
    <font>
      <sz val="11"/>
      <color theme="8" tint="-0.499984740745262"/>
      <name val="Calibri"/>
      <family val="2"/>
      <scheme val="minor"/>
    </font>
    <font>
      <b/>
      <sz val="11"/>
      <color theme="0" tint="-0.499984740745262"/>
      <name val="Calibri"/>
      <family val="2"/>
      <scheme val="minor"/>
    </font>
    <font>
      <sz val="11"/>
      <color theme="0" tint="-0.499984740745262"/>
      <name val="Calibri"/>
      <family val="2"/>
      <scheme val="minor"/>
    </font>
    <font>
      <sz val="11"/>
      <name val="Calibri"/>
      <family val="2"/>
      <scheme val="minor"/>
    </font>
    <font>
      <b/>
      <sz val="11"/>
      <color rgb="FF0070C0"/>
      <name val="Calibri"/>
      <family val="2"/>
      <scheme val="minor"/>
    </font>
    <font>
      <b/>
      <sz val="12"/>
      <color rgb="FF0070C0"/>
      <name val="Calibri"/>
      <family val="2"/>
      <scheme val="minor"/>
    </font>
    <font>
      <sz val="8"/>
      <color rgb="FF0070C0"/>
      <name val="Calibri"/>
      <family val="2"/>
      <scheme val="minor"/>
    </font>
    <font>
      <sz val="10"/>
      <color rgb="FF0070C0"/>
      <name val="Calibri"/>
      <family val="2"/>
      <scheme val="minor"/>
    </font>
    <font>
      <sz val="10"/>
      <name val="Calibri"/>
      <family val="2"/>
      <scheme val="minor"/>
    </font>
    <font>
      <sz val="10"/>
      <color rgb="FFFF0000"/>
      <name val="Calibri"/>
      <family val="2"/>
      <scheme val="minor"/>
    </font>
    <font>
      <sz val="8"/>
      <color rgb="FFFF0000"/>
      <name val="Calibri"/>
      <family val="2"/>
      <scheme val="minor"/>
    </font>
    <font>
      <sz val="11"/>
      <color theme="0" tint="-0.249977111117893"/>
      <name val="Calibri"/>
      <family val="2"/>
      <scheme val="minor"/>
    </font>
    <font>
      <sz val="10"/>
      <color theme="5" tint="0.39997558519241921"/>
      <name val="Calibri"/>
      <family val="2"/>
      <scheme val="minor"/>
    </font>
    <font>
      <sz val="10"/>
      <color theme="9" tint="-0.499984740745262"/>
      <name val="Calibri"/>
      <family val="2"/>
      <scheme val="minor"/>
    </font>
    <font>
      <b/>
      <sz val="10"/>
      <color theme="9" tint="-0.499984740745262"/>
      <name val="Calibri"/>
      <family val="2"/>
      <scheme val="minor"/>
    </font>
    <font>
      <b/>
      <sz val="18"/>
      <color theme="1"/>
      <name val="Calibri"/>
      <family val="2"/>
      <scheme val="minor"/>
    </font>
    <font>
      <b/>
      <sz val="16"/>
      <color theme="1"/>
      <name val="Calibri"/>
      <family val="2"/>
      <scheme val="minor"/>
    </font>
    <font>
      <b/>
      <sz val="11"/>
      <color theme="9" tint="-0.499984740745262"/>
      <name val="Calibri"/>
      <family val="2"/>
      <scheme val="minor"/>
    </font>
    <font>
      <b/>
      <sz val="10"/>
      <color rgb="FF0070C0"/>
      <name val="Calibri"/>
      <family val="2"/>
      <scheme val="minor"/>
    </font>
    <font>
      <b/>
      <sz val="9"/>
      <color theme="9" tint="-0.499984740745262"/>
      <name val="Calibri"/>
      <family val="2"/>
      <scheme val="minor"/>
    </font>
    <font>
      <b/>
      <sz val="11"/>
      <name val="Calibri"/>
      <family val="2"/>
      <scheme val="minor"/>
    </font>
    <font>
      <sz val="11"/>
      <color theme="1" tint="0.34998626667073579"/>
      <name val="Calibri"/>
      <family val="2"/>
      <scheme val="minor"/>
    </font>
    <font>
      <b/>
      <sz val="11"/>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vertAlign val="subscript"/>
      <sz val="12"/>
      <name val="Calibri"/>
      <family val="2"/>
      <scheme val="minor"/>
    </font>
    <font>
      <vertAlign val="superscript"/>
      <sz val="11"/>
      <color theme="1"/>
      <name val="Calibri"/>
      <family val="2"/>
      <scheme val="minor"/>
    </font>
    <font>
      <i/>
      <sz val="12"/>
      <color rgb="FFFF0000"/>
      <name val="Calibri"/>
      <family val="2"/>
      <scheme val="minor"/>
    </font>
    <font>
      <b/>
      <sz val="14"/>
      <color rgb="FFFF0000"/>
      <name val="Calibri"/>
      <family val="2"/>
      <scheme val="minor"/>
    </font>
    <font>
      <sz val="12"/>
      <color theme="1"/>
      <name val="Calibri"/>
      <family val="2"/>
    </font>
    <font>
      <b/>
      <vertAlign val="subscript"/>
      <sz val="11"/>
      <color rgb="FF0070C0"/>
      <name val="Calibri"/>
      <family val="2"/>
      <scheme val="minor"/>
    </font>
    <font>
      <sz val="11"/>
      <color rgb="FF0070C0"/>
      <name val="Calibri"/>
      <family val="2"/>
      <scheme val="minor"/>
    </font>
    <font>
      <b/>
      <sz val="24"/>
      <color theme="1"/>
      <name val="Calibri"/>
      <family val="2"/>
      <scheme val="minor"/>
    </font>
    <font>
      <sz val="12"/>
      <color rgb="FF7030A0"/>
      <name val="Calibri"/>
      <family val="2"/>
      <scheme val="minor"/>
    </font>
    <font>
      <sz val="11"/>
      <color rgb="FF7030A0"/>
      <name val="Calibri"/>
      <family val="2"/>
      <scheme val="minor"/>
    </font>
    <font>
      <sz val="11"/>
      <color rgb="FF9C0006"/>
      <name val="Calibri"/>
      <family val="2"/>
      <scheme val="minor"/>
    </font>
    <font>
      <u/>
      <sz val="12"/>
      <name val="Calibri"/>
      <family val="2"/>
      <scheme val="minor"/>
    </font>
    <font>
      <b/>
      <sz val="16"/>
      <name val="Calibri"/>
      <family val="2"/>
      <scheme val="minor"/>
    </font>
    <font>
      <b/>
      <sz val="12"/>
      <name val="Calibri"/>
      <family val="2"/>
    </font>
    <font>
      <sz val="10"/>
      <name val="Calibri"/>
      <family val="2"/>
    </font>
    <font>
      <b/>
      <sz val="13"/>
      <color theme="1"/>
      <name val="Calibri"/>
      <family val="2"/>
      <scheme val="minor"/>
    </font>
    <font>
      <b/>
      <sz val="11"/>
      <color theme="8"/>
      <name val="Calibri"/>
      <family val="2"/>
      <scheme val="minor"/>
    </font>
    <font>
      <b/>
      <sz val="20"/>
      <color theme="1"/>
      <name val="Calibri"/>
      <family val="2"/>
      <scheme val="minor"/>
    </font>
    <font>
      <b/>
      <vertAlign val="subscript"/>
      <sz val="11"/>
      <name val="Calibri"/>
      <family val="2"/>
      <scheme val="minor"/>
    </font>
    <font>
      <b/>
      <sz val="14"/>
      <name val="Calibri"/>
      <family val="2"/>
      <scheme val="minor"/>
    </font>
    <font>
      <sz val="16"/>
      <color theme="1"/>
      <name val="Calibri"/>
      <family val="2"/>
      <scheme val="minor"/>
    </font>
    <font>
      <b/>
      <sz val="12"/>
      <color theme="8" tint="0.39997558519241921"/>
      <name val="Calibri"/>
      <family val="2"/>
      <scheme val="minor"/>
    </font>
    <font>
      <sz val="13"/>
      <name val="Calibri"/>
      <family val="2"/>
      <scheme val="minor"/>
    </font>
    <font>
      <b/>
      <sz val="13"/>
      <name val="Calibri"/>
      <family val="2"/>
      <scheme val="minor"/>
    </font>
    <font>
      <sz val="13"/>
      <color theme="1"/>
      <name val="Calibri"/>
      <family val="2"/>
      <scheme val="minor"/>
    </font>
    <font>
      <b/>
      <sz val="11"/>
      <color theme="0"/>
      <name val="Calibri"/>
      <family val="2"/>
      <scheme val="minor"/>
    </font>
    <font>
      <sz val="11"/>
      <color theme="0"/>
      <name val="Calibri"/>
      <family val="2"/>
      <scheme val="minor"/>
    </font>
    <font>
      <b/>
      <sz val="11"/>
      <color theme="2" tint="-0.499984740745262"/>
      <name val="Calibri"/>
      <family val="2"/>
      <scheme val="minor"/>
    </font>
    <font>
      <b/>
      <sz val="12"/>
      <color theme="0"/>
      <name val="Calibri"/>
      <family val="2"/>
      <scheme val="minor"/>
    </font>
    <font>
      <sz val="12"/>
      <color theme="0"/>
      <name val="Calibri"/>
      <family val="2"/>
      <scheme val="minor"/>
    </font>
    <font>
      <b/>
      <u/>
      <sz val="12"/>
      <color theme="0"/>
      <name val="Calibri"/>
      <family val="2"/>
      <scheme val="minor"/>
    </font>
    <font>
      <b/>
      <u/>
      <sz val="11"/>
      <color theme="0"/>
      <name val="Calibri"/>
      <family val="2"/>
      <scheme val="minor"/>
    </font>
    <font>
      <sz val="11"/>
      <color theme="0" tint="-4.9989318521683403E-2"/>
      <name val="Calibri"/>
      <family val="2"/>
      <scheme val="minor"/>
    </font>
    <font>
      <sz val="9"/>
      <color indexed="81"/>
      <name val="Tahoma"/>
      <family val="2"/>
    </font>
    <font>
      <b/>
      <sz val="9"/>
      <color indexed="81"/>
      <name val="Tahoma"/>
      <family val="2"/>
    </font>
    <font>
      <u/>
      <sz val="11"/>
      <name val="Calibri"/>
      <family val="2"/>
      <scheme val="minor"/>
    </font>
    <font>
      <b/>
      <sz val="10"/>
      <name val="Calibri"/>
      <family val="2"/>
      <scheme val="minor"/>
    </font>
    <font>
      <b/>
      <sz val="12"/>
      <color theme="9"/>
      <name val="Calibri"/>
      <family val="2"/>
      <scheme val="minor"/>
    </font>
    <font>
      <sz val="12"/>
      <name val="Calibri"/>
      <family val="2"/>
    </font>
    <font>
      <b/>
      <sz val="9"/>
      <color indexed="81"/>
      <name val="Segoe UI"/>
      <family val="2"/>
    </font>
    <font>
      <b/>
      <sz val="12"/>
      <color theme="4" tint="-0.249977111117893"/>
      <name val="Calibri"/>
      <family val="2"/>
      <scheme val="minor"/>
    </font>
    <font>
      <b/>
      <sz val="11"/>
      <color theme="4" tint="-0.249977111117893"/>
      <name val="Calibri"/>
      <family val="2"/>
      <scheme val="minor"/>
    </font>
    <font>
      <sz val="11"/>
      <color theme="4" tint="-0.249977111117893"/>
      <name val="Calibri"/>
      <family val="2"/>
      <scheme val="minor"/>
    </font>
    <font>
      <sz val="12"/>
      <color theme="4" tint="-0.249977111117893"/>
      <name val="Calibri"/>
      <family val="2"/>
      <scheme val="minor"/>
    </font>
    <font>
      <b/>
      <u/>
      <sz val="11"/>
      <color theme="4" tint="-0.249977111117893"/>
      <name val="Calibri"/>
      <family val="2"/>
      <scheme val="minor"/>
    </font>
    <font>
      <u/>
      <sz val="11"/>
      <color theme="4" tint="-0.249977111117893"/>
      <name val="Calibri"/>
      <family val="2"/>
      <scheme val="minor"/>
    </font>
    <font>
      <b/>
      <sz val="12"/>
      <name val="Times New Roman"/>
      <family val="1"/>
    </font>
    <font>
      <sz val="11"/>
      <name val="Times New Roman"/>
      <family val="1"/>
    </font>
    <font>
      <sz val="12"/>
      <name val="Times New Roman"/>
      <family val="1"/>
    </font>
    <font>
      <b/>
      <vertAlign val="subscript"/>
      <sz val="12"/>
      <name val="Calibri"/>
      <family val="2"/>
      <scheme val="minor"/>
    </font>
    <font>
      <sz val="14"/>
      <name val="Calibri"/>
      <family val="2"/>
      <scheme val="minor"/>
    </font>
    <font>
      <b/>
      <sz val="11"/>
      <color theme="0" tint="-4.9989318521683403E-2"/>
      <name val="Calibri"/>
      <family val="2"/>
      <scheme val="minor"/>
    </font>
  </fonts>
  <fills count="16">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rgb="FFFFF7E1"/>
        <bgColor indexed="64"/>
      </patternFill>
    </fill>
    <fill>
      <patternFill patternType="solid">
        <fgColor rgb="FFFEF5F0"/>
        <bgColor indexed="64"/>
      </patternFill>
    </fill>
    <fill>
      <patternFill patternType="solid">
        <fgColor rgb="FFECF5E7"/>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7CE"/>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FF0000"/>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top style="medium">
        <color indexed="64"/>
      </top>
      <bottom/>
      <diagonal/>
    </border>
    <border>
      <left/>
      <right/>
      <top/>
      <bottom style="medium">
        <color indexed="64"/>
      </bottom>
      <diagonal/>
    </border>
    <border>
      <left style="medium">
        <color rgb="FF0070C0"/>
      </left>
      <right/>
      <top style="medium">
        <color rgb="FF0070C0"/>
      </top>
      <bottom style="medium">
        <color rgb="FF0070C0"/>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thin">
        <color rgb="FF0070C0"/>
      </left>
      <right style="medium">
        <color rgb="FF0070C0"/>
      </right>
      <top style="medium">
        <color rgb="FF0070C0"/>
      </top>
      <bottom style="medium">
        <color rgb="FF0070C0"/>
      </bottom>
      <diagonal/>
    </border>
    <border>
      <left style="thin">
        <color rgb="FF0070C0"/>
      </left>
      <right style="medium">
        <color rgb="FF0070C0"/>
      </right>
      <top style="medium">
        <color rgb="FF0070C0"/>
      </top>
      <bottom/>
      <diagonal/>
    </border>
    <border>
      <left style="thin">
        <color rgb="FF0070C0"/>
      </left>
      <right style="medium">
        <color rgb="FF0070C0"/>
      </right>
      <top/>
      <bottom/>
      <diagonal/>
    </border>
    <border>
      <left style="thin">
        <color rgb="FF0070C0"/>
      </left>
      <right style="medium">
        <color rgb="FF0070C0"/>
      </right>
      <top/>
      <bottom style="medium">
        <color rgb="FF0070C0"/>
      </bottom>
      <diagonal/>
    </border>
    <border>
      <left style="thin">
        <color rgb="FFFF0000"/>
      </left>
      <right style="medium">
        <color rgb="FFFF0000"/>
      </right>
      <top style="medium">
        <color rgb="FFFF0000"/>
      </top>
      <bottom/>
      <diagonal/>
    </border>
    <border>
      <left style="thin">
        <color rgb="FFFF0000"/>
      </left>
      <right style="medium">
        <color rgb="FFFF0000"/>
      </right>
      <top/>
      <bottom/>
      <diagonal/>
    </border>
    <border>
      <left style="thin">
        <color rgb="FFFF0000"/>
      </left>
      <right style="medium">
        <color rgb="FFFF0000"/>
      </right>
      <top/>
      <bottom style="medium">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right style="thin">
        <color theme="1"/>
      </right>
      <top/>
      <bottom style="thin">
        <color theme="1"/>
      </bottom>
      <diagonal/>
    </border>
    <border>
      <left style="thin">
        <color theme="1"/>
      </left>
      <right style="thin">
        <color theme="1"/>
      </right>
      <top/>
      <bottom/>
      <diagonal/>
    </border>
    <border>
      <left style="thin">
        <color theme="1"/>
      </left>
      <right/>
      <top style="thin">
        <color indexed="64"/>
      </top>
      <bottom style="thin">
        <color theme="1"/>
      </bottom>
      <diagonal/>
    </border>
    <border>
      <left style="thin">
        <color indexed="64"/>
      </left>
      <right/>
      <top style="thin">
        <color theme="1"/>
      </top>
      <bottom/>
      <diagonal/>
    </border>
    <border>
      <left style="thin">
        <color theme="1"/>
      </left>
      <right style="thin">
        <color indexed="64"/>
      </right>
      <top/>
      <bottom style="thin">
        <color theme="1"/>
      </bottom>
      <diagonal/>
    </border>
    <border>
      <left style="thin">
        <color theme="1"/>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right style="thin">
        <color theme="1"/>
      </right>
      <top style="thin">
        <color theme="1"/>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theme="1"/>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0" fontId="14" fillId="0" borderId="0"/>
    <xf numFmtId="4" fontId="21" fillId="0" borderId="1"/>
    <xf numFmtId="49" fontId="21" fillId="0" borderId="1"/>
    <xf numFmtId="0" fontId="21" fillId="0" borderId="0"/>
    <xf numFmtId="0" fontId="22" fillId="2" borderId="1" applyNumberFormat="0">
      <alignment horizontal="center"/>
    </xf>
    <xf numFmtId="0" fontId="28" fillId="0" borderId="0" applyNumberFormat="0" applyFill="0" applyBorder="0" applyAlignment="0" applyProtection="0"/>
    <xf numFmtId="0" fontId="71" fillId="15" borderId="0" applyNumberFormat="0" applyBorder="0" applyAlignment="0" applyProtection="0"/>
  </cellStyleXfs>
  <cellXfs count="1626">
    <xf numFmtId="0" fontId="0" fillId="0" borderId="0" xfId="0"/>
    <xf numFmtId="0" fontId="0" fillId="0" borderId="0" xfId="0" applyBorder="1"/>
    <xf numFmtId="0" fontId="3" fillId="0" borderId="0" xfId="0" applyFont="1" applyBorder="1" applyAlignment="1">
      <alignment horizontal="center" vertical="center"/>
    </xf>
    <xf numFmtId="0" fontId="5" fillId="0" borderId="1" xfId="0" applyFont="1" applyBorder="1" applyAlignment="1">
      <alignment horizontal="center"/>
    </xf>
    <xf numFmtId="0" fontId="5" fillId="0" borderId="0" xfId="0" applyFont="1" applyAlignment="1">
      <alignment horizontal="left" vertical="center"/>
    </xf>
    <xf numFmtId="0" fontId="0" fillId="0" borderId="0" xfId="0" applyFont="1"/>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0" fillId="0" borderId="1" xfId="0" applyFont="1" applyBorder="1"/>
    <xf numFmtId="0" fontId="5" fillId="0" borderId="4" xfId="0" applyFont="1" applyBorder="1" applyAlignment="1">
      <alignment vertical="center" wrapText="1"/>
    </xf>
    <xf numFmtId="0" fontId="5" fillId="0" borderId="0" xfId="0" applyFont="1"/>
    <xf numFmtId="0" fontId="0" fillId="0" borderId="1" xfId="0" applyBorder="1"/>
    <xf numFmtId="0" fontId="0"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vertical="center"/>
    </xf>
    <xf numFmtId="0" fontId="0"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10" fillId="0" borderId="1" xfId="0" applyFont="1" applyBorder="1" applyAlignment="1">
      <alignment horizontal="center" vertical="center"/>
    </xf>
    <xf numFmtId="0" fontId="9" fillId="0" borderId="0" xfId="0" applyFont="1"/>
    <xf numFmtId="164" fontId="0" fillId="0" borderId="1" xfId="0" applyNumberFormat="1" applyFont="1" applyBorder="1" applyAlignment="1">
      <alignment horizontal="center" vertical="center"/>
    </xf>
    <xf numFmtId="0" fontId="0" fillId="0" borderId="1" xfId="0" applyBorder="1" applyAlignment="1">
      <alignment horizontal="center" vertical="center"/>
    </xf>
    <xf numFmtId="1"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11" fillId="0" borderId="1" xfId="0" applyFont="1" applyBorder="1" applyAlignment="1">
      <alignment vertical="center" wrapText="1"/>
    </xf>
    <xf numFmtId="0" fontId="5" fillId="0" borderId="0" xfId="0" applyFont="1" applyBorder="1" applyAlignment="1">
      <alignment horizontal="center" vertical="center"/>
    </xf>
    <xf numFmtId="0" fontId="5"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Border="1" applyAlignment="1">
      <alignment vertical="center" wrapText="1"/>
    </xf>
    <xf numFmtId="0" fontId="5" fillId="0" borderId="9"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2" fontId="5" fillId="0" borderId="3" xfId="0" applyNumberFormat="1" applyFont="1" applyBorder="1" applyAlignment="1">
      <alignment horizontal="center" vertical="center"/>
    </xf>
    <xf numFmtId="3" fontId="11" fillId="0" borderId="1" xfId="2" applyNumberFormat="1" applyFont="1" applyFill="1" applyBorder="1" applyAlignment="1" applyProtection="1">
      <alignment horizontal="center" vertical="center"/>
    </xf>
    <xf numFmtId="0" fontId="5" fillId="0" borderId="1" xfId="0" applyFont="1" applyFill="1" applyBorder="1" applyAlignment="1">
      <alignment horizontal="center" vertical="center"/>
    </xf>
    <xf numFmtId="0" fontId="10" fillId="0" borderId="0" xfId="0" applyFont="1" applyAlignment="1">
      <alignment horizontal="left" vertical="center"/>
    </xf>
    <xf numFmtId="0" fontId="0" fillId="0" borderId="1" xfId="0" applyBorder="1" applyAlignment="1">
      <alignment horizont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10" fillId="0" borderId="0" xfId="0" applyFont="1" applyAlignment="1">
      <alignment vertical="center"/>
    </xf>
    <xf numFmtId="3" fontId="11" fillId="0" borderId="1" xfId="0" applyNumberFormat="1" applyFont="1" applyFill="1" applyBorder="1" applyAlignment="1" applyProtection="1">
      <alignment horizontal="center" vertical="center"/>
    </xf>
    <xf numFmtId="2" fontId="5" fillId="0" borderId="1" xfId="0" applyNumberFormat="1" applyFont="1" applyFill="1" applyBorder="1" applyAlignment="1" applyProtection="1">
      <alignment horizontal="center" vertical="center"/>
    </xf>
    <xf numFmtId="2" fontId="11" fillId="0" borderId="1" xfId="0" applyNumberFormat="1" applyFont="1" applyFill="1" applyBorder="1" applyAlignment="1" applyProtection="1">
      <alignment horizontal="center" vertical="center"/>
    </xf>
    <xf numFmtId="0" fontId="5" fillId="0" borderId="1" xfId="0" applyFont="1" applyBorder="1" applyAlignment="1">
      <alignment horizontal="left" vertical="center"/>
    </xf>
    <xf numFmtId="0" fontId="15" fillId="0" borderId="0" xfId="0" applyFont="1" applyAlignment="1">
      <alignment vertical="center"/>
    </xf>
    <xf numFmtId="0" fontId="11" fillId="0" borderId="1" xfId="0" applyFont="1" applyFill="1" applyBorder="1" applyAlignment="1">
      <alignment horizontal="center" vertical="center" wrapText="1"/>
    </xf>
    <xf numFmtId="0" fontId="0" fillId="0" borderId="0" xfId="0" applyAlignment="1">
      <alignment horizontal="center"/>
    </xf>
    <xf numFmtId="0" fontId="16" fillId="0" borderId="0" xfId="0" applyFont="1"/>
    <xf numFmtId="0" fontId="17" fillId="0" borderId="0" xfId="0" applyFont="1"/>
    <xf numFmtId="0" fontId="16" fillId="0" borderId="0" xfId="0" applyFont="1" applyBorder="1" applyAlignment="1">
      <alignment horizontal="center" vertical="center"/>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xf numFmtId="2" fontId="19" fillId="0" borderId="1" xfId="2" applyNumberFormat="1" applyFont="1" applyBorder="1" applyAlignment="1" applyProtection="1">
      <alignment horizontal="center" vertical="center"/>
    </xf>
    <xf numFmtId="0" fontId="16" fillId="0" borderId="0" xfId="0" applyFont="1" applyAlignment="1">
      <alignment horizontal="left"/>
    </xf>
    <xf numFmtId="0" fontId="19" fillId="0" borderId="1" xfId="2" applyFont="1" applyFill="1" applyBorder="1" applyProtection="1"/>
    <xf numFmtId="0" fontId="19" fillId="0" borderId="2" xfId="2" applyFont="1" applyFill="1" applyBorder="1" applyProtection="1"/>
    <xf numFmtId="2" fontId="16" fillId="0" borderId="1" xfId="0" applyNumberFormat="1" applyFont="1" applyBorder="1" applyAlignment="1">
      <alignment horizontal="center" vertical="center"/>
    </xf>
    <xf numFmtId="2" fontId="16" fillId="0" borderId="1"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Alignment="1">
      <alignment horizontal="center" vertical="center"/>
    </xf>
    <xf numFmtId="0" fontId="6"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10"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24" fillId="0" borderId="0" xfId="0" applyFont="1" applyAlignment="1">
      <alignment horizontal="center" vertical="center"/>
    </xf>
    <xf numFmtId="0" fontId="25" fillId="0" borderId="0" xfId="0" applyFont="1"/>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2"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0" fontId="24" fillId="0" borderId="0" xfId="0" applyFont="1" applyAlignment="1">
      <alignment horizontal="center" vertical="center"/>
    </xf>
    <xf numFmtId="0" fontId="0" fillId="0" borderId="0" xfId="0" applyAlignment="1">
      <alignment horizontal="center" vertical="center"/>
    </xf>
    <xf numFmtId="0" fontId="28" fillId="0" borderId="0" xfId="7" applyAlignment="1">
      <alignment vertical="center"/>
    </xf>
    <xf numFmtId="0" fontId="10" fillId="0" borderId="0" xfId="0" applyFont="1" applyBorder="1" applyAlignment="1">
      <alignment horizontal="left" vertical="center"/>
    </xf>
    <xf numFmtId="0" fontId="12" fillId="0" borderId="1" xfId="2" applyFont="1" applyFill="1" applyBorder="1" applyAlignment="1" applyProtection="1">
      <alignment horizontal="center" vertical="center"/>
    </xf>
    <xf numFmtId="0" fontId="5" fillId="0" borderId="1" xfId="0" applyFont="1" applyFill="1" applyBorder="1" applyAlignment="1">
      <alignment horizontal="left" vertical="center"/>
    </xf>
    <xf numFmtId="0" fontId="4"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vertical="center"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center"/>
    </xf>
    <xf numFmtId="0" fontId="31" fillId="0" borderId="1" xfId="0" applyFont="1" applyBorder="1" applyAlignment="1">
      <alignment horizontal="center" vertical="center"/>
    </xf>
    <xf numFmtId="1" fontId="11" fillId="0" borderId="0" xfId="0" applyNumberFormat="1" applyFont="1" applyFill="1" applyBorder="1" applyAlignment="1" applyProtection="1">
      <alignment horizontal="center" vertical="center"/>
    </xf>
    <xf numFmtId="0" fontId="0" fillId="0" borderId="24" xfId="0" applyBorder="1"/>
    <xf numFmtId="2" fontId="5" fillId="0" borderId="24" xfId="0" applyNumberFormat="1" applyFont="1" applyBorder="1" applyAlignment="1">
      <alignment horizontal="center" vertical="center"/>
    </xf>
    <xf numFmtId="0" fontId="0" fillId="0" borderId="0" xfId="0" applyBorder="1" applyAlignment="1">
      <alignment vertical="center"/>
    </xf>
    <xf numFmtId="0" fontId="0" fillId="0" borderId="0" xfId="0" applyBorder="1" applyAlignment="1"/>
    <xf numFmtId="0" fontId="5" fillId="0" borderId="0" xfId="0" applyFont="1" applyBorder="1" applyAlignment="1">
      <alignment vertical="center"/>
    </xf>
    <xf numFmtId="0" fontId="5" fillId="0" borderId="1" xfId="0" applyFont="1" applyBorder="1" applyAlignment="1">
      <alignment horizontal="center" vertical="center"/>
    </xf>
    <xf numFmtId="0" fontId="5" fillId="0" borderId="0"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37" fillId="0" borderId="0" xfId="0" applyFont="1" applyBorder="1" applyAlignment="1">
      <alignment horizontal="center" vertical="center" wrapText="1"/>
    </xf>
    <xf numFmtId="0" fontId="38" fillId="0" borderId="0" xfId="0" applyFont="1" applyBorder="1"/>
    <xf numFmtId="0" fontId="11" fillId="0" borderId="1" xfId="0" applyFont="1" applyFill="1" applyBorder="1" applyProtection="1"/>
    <xf numFmtId="0" fontId="11" fillId="0" borderId="0" xfId="2" applyFont="1" applyFill="1" applyBorder="1" applyProtection="1"/>
    <xf numFmtId="0" fontId="11" fillId="0" borderId="0" xfId="0" applyFont="1" applyFill="1" applyBorder="1" applyProtection="1"/>
    <xf numFmtId="2" fontId="19" fillId="0" borderId="0" xfId="2" applyNumberFormat="1" applyFont="1" applyBorder="1" applyAlignment="1" applyProtection="1">
      <alignment horizontal="center" vertical="center"/>
    </xf>
    <xf numFmtId="0" fontId="11" fillId="0" borderId="0" xfId="0" applyFont="1" applyFill="1" applyBorder="1" applyAlignment="1" applyProtection="1">
      <alignment horizontal="left" vertical="center"/>
    </xf>
    <xf numFmtId="0" fontId="5" fillId="5" borderId="24"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0" fillId="0" borderId="0" xfId="0" applyAlignment="1">
      <alignment horizontal="left" vertical="center" wrapText="1"/>
    </xf>
    <xf numFmtId="0" fontId="0" fillId="0" borderId="21" xfId="0" applyBorder="1" applyAlignment="1">
      <alignment horizontal="center" vertical="center" wrapText="1"/>
    </xf>
    <xf numFmtId="0" fontId="0" fillId="0" borderId="0" xfId="0" applyBorder="1" applyAlignment="1">
      <alignment horizontal="center" vertical="center" wrapText="1"/>
    </xf>
    <xf numFmtId="0" fontId="28" fillId="0" borderId="0" xfId="7"/>
    <xf numFmtId="0" fontId="0" fillId="0" borderId="0" xfId="0" applyFill="1"/>
    <xf numFmtId="0" fontId="9" fillId="0" borderId="1" xfId="0" applyFont="1" applyBorder="1"/>
    <xf numFmtId="0" fontId="32" fillId="0" borderId="1" xfId="0" applyFont="1" applyBorder="1" applyAlignment="1">
      <alignment horizontal="center" vertical="center"/>
    </xf>
    <xf numFmtId="0" fontId="0" fillId="0" borderId="0" xfId="0" applyBorder="1" applyAlignment="1">
      <alignment horizontal="center" vertical="center" wrapText="1"/>
    </xf>
    <xf numFmtId="0" fontId="4" fillId="0" borderId="0" xfId="0" applyFont="1"/>
    <xf numFmtId="49" fontId="50" fillId="0" borderId="0" xfId="0" applyNumberFormat="1" applyFont="1" applyAlignment="1">
      <alignment horizontal="center" vertical="center" wrapText="1"/>
    </xf>
    <xf numFmtId="0" fontId="42" fillId="0" borderId="0" xfId="0" applyFont="1" applyAlignment="1">
      <alignment horizontal="center" vertical="center" wrapText="1"/>
    </xf>
    <xf numFmtId="0" fontId="46" fillId="0" borderId="0" xfId="0" applyFont="1" applyAlignment="1">
      <alignment horizontal="center" vertical="center" wrapText="1"/>
    </xf>
    <xf numFmtId="0" fontId="0" fillId="0" borderId="0" xfId="0" applyAlignment="1">
      <alignment vertical="center" wrapText="1"/>
    </xf>
    <xf numFmtId="0" fontId="4" fillId="0" borderId="0" xfId="0" applyFont="1" applyAlignment="1">
      <alignment vertical="center" wrapText="1"/>
    </xf>
    <xf numFmtId="0" fontId="45" fillId="0" borderId="0" xfId="0" applyFont="1" applyAlignment="1">
      <alignment horizontal="center" vertical="center" wrapText="1"/>
    </xf>
    <xf numFmtId="0" fontId="4" fillId="0" borderId="0" xfId="0" applyFont="1" applyAlignment="1">
      <alignment horizontal="left" vertical="center" wrapText="1"/>
    </xf>
    <xf numFmtId="0" fontId="48" fillId="0" borderId="0" xfId="0" applyFont="1" applyAlignment="1">
      <alignment horizontal="center" vertical="center" wrapText="1"/>
    </xf>
    <xf numFmtId="0" fontId="43" fillId="0" borderId="0" xfId="0" applyFont="1" applyAlignment="1">
      <alignment horizontal="center" vertical="center" wrapText="1"/>
    </xf>
    <xf numFmtId="0" fontId="47" fillId="0" borderId="0" xfId="0" applyFont="1" applyAlignment="1">
      <alignment horizontal="left" vertical="center" wrapText="1"/>
    </xf>
    <xf numFmtId="0" fontId="0" fillId="0" borderId="0" xfId="0" applyBorder="1" applyAlignment="1">
      <alignment vertical="center" wrapText="1"/>
    </xf>
    <xf numFmtId="49" fontId="53" fillId="0" borderId="0" xfId="0" applyNumberFormat="1" applyFont="1" applyBorder="1" applyAlignment="1">
      <alignment horizontal="center" vertical="center" wrapText="1"/>
    </xf>
    <xf numFmtId="49" fontId="50" fillId="0" borderId="0" xfId="0" applyNumberFormat="1" applyFont="1" applyBorder="1" applyAlignment="1">
      <alignment horizontal="center" vertical="center" wrapText="1"/>
    </xf>
    <xf numFmtId="49" fontId="49" fillId="0" borderId="0" xfId="0" applyNumberFormat="1" applyFont="1" applyBorder="1" applyAlignment="1">
      <alignment horizontal="center" vertical="center" wrapText="1"/>
    </xf>
    <xf numFmtId="0" fontId="51" fillId="0" borderId="0" xfId="0" applyFont="1" applyBorder="1" applyAlignment="1">
      <alignment horizontal="center" vertical="center" wrapText="1"/>
    </xf>
    <xf numFmtId="0" fontId="15" fillId="0" borderId="0" xfId="0" applyFont="1" applyBorder="1" applyAlignment="1">
      <alignment vertical="center" wrapText="1"/>
    </xf>
    <xf numFmtId="0" fontId="0" fillId="0" borderId="20" xfId="0" applyBorder="1" applyAlignment="1">
      <alignment horizontal="left" vertical="center" wrapText="1"/>
    </xf>
    <xf numFmtId="0" fontId="4" fillId="0" borderId="21" xfId="0" applyFont="1" applyBorder="1" applyAlignment="1">
      <alignment horizontal="center" vertical="center" wrapText="1"/>
    </xf>
    <xf numFmtId="0" fontId="41" fillId="0" borderId="34" xfId="0" applyFont="1" applyBorder="1" applyAlignment="1">
      <alignment horizontal="center" vertical="center" wrapText="1"/>
    </xf>
    <xf numFmtId="0" fontId="0" fillId="0" borderId="35" xfId="0" applyBorder="1" applyAlignment="1">
      <alignment vertical="center" wrapText="1"/>
    </xf>
    <xf numFmtId="0" fontId="0" fillId="0" borderId="36" xfId="0" applyBorder="1" applyAlignment="1">
      <alignment horizontal="center" vertical="center" wrapText="1"/>
    </xf>
    <xf numFmtId="0" fontId="32" fillId="0" borderId="20" xfId="0" applyFont="1" applyBorder="1" applyAlignment="1">
      <alignment horizontal="center" vertical="center" wrapText="1"/>
    </xf>
    <xf numFmtId="0" fontId="40" fillId="0" borderId="38" xfId="0" applyFont="1" applyBorder="1" applyAlignment="1">
      <alignment horizontal="center" vertical="center" wrapText="1"/>
    </xf>
    <xf numFmtId="0" fontId="0" fillId="0" borderId="39" xfId="0" applyBorder="1" applyAlignment="1">
      <alignment vertical="center" wrapText="1"/>
    </xf>
    <xf numFmtId="0" fontId="0" fillId="0" borderId="40" xfId="0" applyBorder="1" applyAlignment="1">
      <alignment vertical="center" wrapText="1"/>
    </xf>
    <xf numFmtId="49" fontId="54" fillId="0" borderId="40" xfId="0" applyNumberFormat="1" applyFont="1" applyBorder="1" applyAlignment="1">
      <alignment horizontal="center" vertical="center" wrapText="1"/>
    </xf>
    <xf numFmtId="0" fontId="29" fillId="0" borderId="42" xfId="0" applyFont="1" applyBorder="1" applyAlignment="1">
      <alignment horizontal="center" vertical="center" wrapText="1"/>
    </xf>
    <xf numFmtId="0" fontId="0" fillId="0" borderId="42" xfId="0" applyBorder="1" applyAlignment="1">
      <alignment vertical="center" wrapText="1"/>
    </xf>
    <xf numFmtId="0" fontId="0" fillId="0" borderId="43" xfId="0" applyBorder="1" applyAlignment="1">
      <alignment vertical="center" wrapText="1"/>
    </xf>
    <xf numFmtId="0" fontId="53" fillId="6" borderId="0"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54" fillId="6" borderId="4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5" fillId="6" borderId="43" xfId="0" applyFont="1" applyFill="1" applyBorder="1" applyAlignment="1">
      <alignment horizontal="center" vertical="center" wrapText="1"/>
    </xf>
    <xf numFmtId="0" fontId="0" fillId="6" borderId="36" xfId="0" applyFill="1" applyBorder="1" applyAlignment="1">
      <alignment horizontal="center" vertical="center" wrapText="1"/>
    </xf>
    <xf numFmtId="0" fontId="0" fillId="6" borderId="40" xfId="0" applyFill="1" applyBorder="1" applyAlignment="1">
      <alignment vertical="center" wrapText="1"/>
    </xf>
    <xf numFmtId="0" fontId="4" fillId="7" borderId="21" xfId="0" applyFont="1" applyFill="1" applyBorder="1" applyAlignment="1">
      <alignment horizontal="center" vertical="center" wrapText="1"/>
    </xf>
    <xf numFmtId="0" fontId="45" fillId="7" borderId="43" xfId="0" applyFont="1" applyFill="1" applyBorder="1" applyAlignment="1">
      <alignment horizontal="center" vertical="center" wrapText="1"/>
    </xf>
    <xf numFmtId="0" fontId="53" fillId="7" borderId="0"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54" fillId="7" borderId="40" xfId="0" applyFont="1" applyFill="1" applyBorder="1" applyAlignment="1">
      <alignment horizontal="center" vertical="center" wrapText="1"/>
    </xf>
    <xf numFmtId="49" fontId="54" fillId="7" borderId="40" xfId="0" applyNumberFormat="1" applyFont="1" applyFill="1" applyBorder="1" applyAlignment="1">
      <alignment horizontal="center" vertical="center" wrapText="1"/>
    </xf>
    <xf numFmtId="0" fontId="55" fillId="7" borderId="0"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45" fillId="8" borderId="43" xfId="0" applyFont="1" applyFill="1" applyBorder="1" applyAlignment="1">
      <alignment horizontal="center" vertical="center" wrapText="1"/>
    </xf>
    <xf numFmtId="49" fontId="50" fillId="8" borderId="0" xfId="0" applyNumberFormat="1" applyFont="1" applyFill="1" applyBorder="1" applyAlignment="1">
      <alignment horizontal="center" vertical="center" wrapText="1"/>
    </xf>
    <xf numFmtId="0" fontId="0" fillId="8" borderId="36" xfId="0" applyFill="1" applyBorder="1" applyAlignment="1">
      <alignment horizontal="center" vertical="center" wrapText="1"/>
    </xf>
    <xf numFmtId="0" fontId="0" fillId="8" borderId="40" xfId="0" applyFill="1" applyBorder="1" applyAlignment="1">
      <alignment vertical="center" wrapText="1"/>
    </xf>
    <xf numFmtId="49" fontId="53" fillId="8" borderId="0" xfId="0" applyNumberFormat="1" applyFont="1" applyFill="1" applyBorder="1" applyAlignment="1">
      <alignment horizontal="center" vertical="center" wrapText="1"/>
    </xf>
    <xf numFmtId="0" fontId="4" fillId="8" borderId="37" xfId="0" applyFont="1" applyFill="1" applyBorder="1" applyAlignment="1">
      <alignment horizontal="center" vertical="center" wrapText="1"/>
    </xf>
    <xf numFmtId="0" fontId="54" fillId="8" borderId="41" xfId="0" applyFont="1" applyFill="1" applyBorder="1" applyAlignment="1">
      <alignment horizontal="center" vertical="center" wrapText="1"/>
    </xf>
    <xf numFmtId="0" fontId="50" fillId="6" borderId="0" xfId="0" applyFont="1" applyFill="1" applyBorder="1" applyAlignment="1">
      <alignment horizontal="center" vertical="center" wrapText="1"/>
    </xf>
    <xf numFmtId="0" fontId="29" fillId="0" borderId="0" xfId="0" applyFont="1" applyBorder="1" applyAlignment="1">
      <alignment horizontal="center" vertical="center" wrapText="1"/>
    </xf>
    <xf numFmtId="0" fontId="45" fillId="6" borderId="0" xfId="0" applyFont="1" applyFill="1" applyBorder="1" applyAlignment="1">
      <alignment horizontal="center" vertical="center" wrapText="1"/>
    </xf>
    <xf numFmtId="0" fontId="45" fillId="7" borderId="0"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0" fillId="8" borderId="0" xfId="0" applyFill="1" applyBorder="1" applyAlignment="1">
      <alignment vertical="center" wrapText="1"/>
    </xf>
    <xf numFmtId="0" fontId="27" fillId="0" borderId="0" xfId="0" applyFont="1" applyBorder="1" applyAlignment="1">
      <alignment horizontal="center" vertical="center" wrapText="1"/>
    </xf>
    <xf numFmtId="0" fontId="27" fillId="0" borderId="0" xfId="0" applyFont="1" applyAlignment="1">
      <alignment vertical="center" wrapText="1"/>
    </xf>
    <xf numFmtId="0" fontId="4" fillId="8" borderId="36" xfId="0" applyFont="1" applyFill="1" applyBorder="1" applyAlignment="1">
      <alignment horizontal="center" vertical="center" wrapText="1"/>
    </xf>
    <xf numFmtId="0" fontId="54" fillId="8" borderId="40" xfId="0" applyFont="1" applyFill="1" applyBorder="1" applyAlignment="1">
      <alignment horizontal="center" vertical="center" wrapText="1"/>
    </xf>
    <xf numFmtId="1" fontId="4" fillId="0" borderId="0" xfId="0" applyNumberFormat="1" applyFont="1" applyBorder="1" applyAlignment="1">
      <alignment horizontal="center" vertical="center"/>
    </xf>
    <xf numFmtId="0" fontId="30" fillId="0" borderId="0" xfId="0" applyFont="1" applyAlignment="1">
      <alignment horizontal="center" vertical="center" wrapText="1"/>
    </xf>
    <xf numFmtId="0" fontId="0" fillId="0" borderId="0" xfId="0" applyAlignment="1">
      <alignment vertical="center" wrapText="1"/>
    </xf>
    <xf numFmtId="0" fontId="4" fillId="0" borderId="0" xfId="0" applyFont="1" applyBorder="1" applyAlignment="1">
      <alignment horizontal="center" vertical="center" wrapText="1"/>
    </xf>
    <xf numFmtId="0" fontId="4" fillId="0" borderId="45" xfId="0" applyFont="1" applyBorder="1" applyAlignment="1">
      <alignment vertical="center" wrapText="1"/>
    </xf>
    <xf numFmtId="0" fontId="30" fillId="6" borderId="46" xfId="0" applyFont="1" applyFill="1" applyBorder="1" applyAlignment="1">
      <alignment horizontal="center" vertical="center" wrapText="1"/>
    </xf>
    <xf numFmtId="0" fontId="4" fillId="0" borderId="46" xfId="0" applyFont="1" applyBorder="1" applyAlignment="1">
      <alignment vertical="center" wrapText="1"/>
    </xf>
    <xf numFmtId="0" fontId="30" fillId="7" borderId="46" xfId="0" applyFont="1" applyFill="1" applyBorder="1" applyAlignment="1">
      <alignment horizontal="center" vertical="center" wrapText="1"/>
    </xf>
    <xf numFmtId="0" fontId="30" fillId="8" borderId="46" xfId="0" applyFont="1" applyFill="1" applyBorder="1" applyAlignment="1">
      <alignment horizontal="center" vertical="center" wrapText="1"/>
    </xf>
    <xf numFmtId="49" fontId="50" fillId="0" borderId="18" xfId="0" applyNumberFormat="1" applyFont="1" applyBorder="1" applyAlignment="1">
      <alignment horizontal="center" vertical="center" wrapText="1"/>
    </xf>
    <xf numFmtId="49" fontId="50" fillId="0" borderId="49" xfId="0" applyNumberFormat="1" applyFont="1" applyBorder="1" applyAlignment="1">
      <alignment horizontal="center" vertical="center" wrapText="1"/>
    </xf>
    <xf numFmtId="0" fontId="50" fillId="6" borderId="53" xfId="0" applyFont="1" applyFill="1" applyBorder="1" applyAlignment="1">
      <alignment horizontal="center" vertical="center" wrapText="1"/>
    </xf>
    <xf numFmtId="49" fontId="50" fillId="6" borderId="53" xfId="0" applyNumberFormat="1" applyFont="1" applyFill="1" applyBorder="1" applyAlignment="1">
      <alignment horizontal="center" vertical="center" wrapText="1"/>
    </xf>
    <xf numFmtId="49" fontId="50" fillId="0" borderId="53" xfId="0" applyNumberFormat="1" applyFont="1" applyBorder="1" applyAlignment="1">
      <alignment horizontal="center" vertical="center" wrapText="1"/>
    </xf>
    <xf numFmtId="0" fontId="50" fillId="7" borderId="53" xfId="0" applyFont="1" applyFill="1" applyBorder="1" applyAlignment="1">
      <alignment horizontal="center" vertical="center" wrapText="1"/>
    </xf>
    <xf numFmtId="49" fontId="49" fillId="0" borderId="53" xfId="0" applyNumberFormat="1" applyFont="1" applyBorder="1" applyAlignment="1">
      <alignment horizontal="center" vertical="center" wrapText="1"/>
    </xf>
    <xf numFmtId="49" fontId="50" fillId="8" borderId="53" xfId="0" applyNumberFormat="1" applyFont="1" applyFill="1" applyBorder="1" applyAlignment="1">
      <alignment horizontal="center" vertical="center" wrapText="1"/>
    </xf>
    <xf numFmtId="49" fontId="50" fillId="8" borderId="51" xfId="0" applyNumberFormat="1" applyFont="1" applyFill="1" applyBorder="1" applyAlignment="1">
      <alignment horizontal="center" vertical="center" wrapText="1"/>
    </xf>
    <xf numFmtId="0" fontId="4" fillId="8" borderId="47" xfId="0" applyFont="1" applyFill="1" applyBorder="1" applyAlignment="1">
      <alignment horizontal="center" vertical="center" wrapText="1"/>
    </xf>
    <xf numFmtId="49" fontId="30" fillId="0" borderId="0" xfId="0" applyNumberFormat="1" applyFont="1" applyAlignment="1">
      <alignment horizontal="center" vertical="center" wrapText="1"/>
    </xf>
    <xf numFmtId="0" fontId="57" fillId="0" borderId="0" xfId="0" applyFont="1" applyBorder="1" applyAlignment="1">
      <alignment horizontal="center" vertical="center" wrapText="1"/>
    </xf>
    <xf numFmtId="49" fontId="58" fillId="0" borderId="14" xfId="0" applyNumberFormat="1" applyFont="1" applyBorder="1" applyAlignment="1">
      <alignment horizontal="center" vertical="center" wrapText="1"/>
    </xf>
    <xf numFmtId="49" fontId="59" fillId="0" borderId="48" xfId="0" applyNumberFormat="1" applyFont="1" applyBorder="1" applyAlignment="1">
      <alignment horizontal="center" vertical="center" wrapText="1"/>
    </xf>
    <xf numFmtId="0" fontId="58" fillId="6" borderId="52" xfId="0" applyFont="1" applyFill="1" applyBorder="1" applyAlignment="1">
      <alignment horizontal="center" vertical="center" wrapText="1"/>
    </xf>
    <xf numFmtId="49" fontId="59" fillId="6" borderId="52" xfId="0" applyNumberFormat="1" applyFont="1" applyFill="1" applyBorder="1" applyAlignment="1">
      <alignment horizontal="center" vertical="center" wrapText="1"/>
    </xf>
    <xf numFmtId="49" fontId="59" fillId="0" borderId="52" xfId="0" applyNumberFormat="1" applyFont="1" applyBorder="1" applyAlignment="1">
      <alignment horizontal="center" vertical="center" wrapText="1"/>
    </xf>
    <xf numFmtId="0" fontId="58" fillId="7" borderId="52" xfId="0" applyFont="1" applyFill="1" applyBorder="1" applyAlignment="1">
      <alignment horizontal="center" vertical="center" wrapText="1"/>
    </xf>
    <xf numFmtId="49" fontId="60" fillId="0" borderId="52" xfId="0" applyNumberFormat="1" applyFont="1" applyBorder="1" applyAlignment="1">
      <alignment horizontal="center" vertical="center" wrapText="1"/>
    </xf>
    <xf numFmtId="0" fontId="58" fillId="8" borderId="52" xfId="0" applyFont="1" applyFill="1" applyBorder="1" applyAlignment="1">
      <alignment horizontal="center" vertical="center" wrapText="1"/>
    </xf>
    <xf numFmtId="0" fontId="58" fillId="8" borderId="50" xfId="0" applyFont="1" applyFill="1" applyBorder="1" applyAlignment="1">
      <alignment horizontal="center" vertical="center" wrapText="1"/>
    </xf>
    <xf numFmtId="49" fontId="59" fillId="0" borderId="0" xfId="0" applyNumberFormat="1" applyFont="1" applyAlignment="1">
      <alignment horizontal="center" vertical="center" wrapText="1"/>
    </xf>
    <xf numFmtId="0" fontId="57" fillId="0" borderId="0" xfId="0" applyFont="1" applyAlignment="1">
      <alignment vertical="center" wrapText="1"/>
    </xf>
    <xf numFmtId="0" fontId="4" fillId="8" borderId="23"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39"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2" fontId="0" fillId="0" borderId="1" xfId="0" applyNumberFormat="1" applyBorder="1" applyAlignment="1">
      <alignment horizontal="center"/>
    </xf>
    <xf numFmtId="0" fontId="10" fillId="0" borderId="1" xfId="0" applyFont="1" applyBorder="1" applyAlignment="1">
      <alignment vertical="center" wrapText="1"/>
    </xf>
    <xf numFmtId="0" fontId="0"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Border="1" applyAlignment="1">
      <alignment horizontal="center" vertical="center" wrapText="1"/>
    </xf>
    <xf numFmtId="0" fontId="5" fillId="0" borderId="1" xfId="0" applyFont="1" applyBorder="1" applyAlignment="1">
      <alignment horizontal="left" vertical="center" wrapText="1"/>
    </xf>
    <xf numFmtId="0" fontId="11" fillId="0" borderId="2" xfId="2" applyFont="1" applyBorder="1" applyAlignment="1" applyProtection="1">
      <alignment horizontal="left" vertical="center"/>
    </xf>
    <xf numFmtId="0" fontId="6"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2" xfId="2" applyFont="1" applyFill="1" applyBorder="1" applyProtection="1"/>
    <xf numFmtId="3" fontId="11" fillId="0" borderId="3" xfId="2" applyNumberFormat="1" applyFont="1" applyFill="1" applyBorder="1" applyAlignment="1" applyProtection="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left" vertical="center" wrapText="1"/>
    </xf>
    <xf numFmtId="2" fontId="5" fillId="0" borderId="0"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xf>
    <xf numFmtId="0" fontId="0" fillId="0" borderId="24" xfId="0" applyBorder="1" applyAlignment="1">
      <alignment horizontal="center" vertical="center"/>
    </xf>
    <xf numFmtId="0" fontId="4" fillId="0" borderId="24" xfId="0" applyFont="1" applyBorder="1" applyAlignment="1">
      <alignment horizontal="center" vertical="center"/>
    </xf>
    <xf numFmtId="2" fontId="0" fillId="0" borderId="24" xfId="0" applyNumberFormat="1" applyBorder="1" applyAlignment="1">
      <alignment horizontal="center" vertical="center"/>
    </xf>
    <xf numFmtId="0" fontId="0" fillId="0" borderId="24" xfId="0" applyFont="1" applyBorder="1" applyAlignment="1">
      <alignment horizontal="center" vertical="center"/>
    </xf>
    <xf numFmtId="0" fontId="0" fillId="0" borderId="24" xfId="0" applyFont="1" applyBorder="1" applyAlignment="1">
      <alignment horizontal="center"/>
    </xf>
    <xf numFmtId="0" fontId="0" fillId="0" borderId="24" xfId="0" applyBorder="1" applyAlignment="1">
      <alignment horizontal="center"/>
    </xf>
    <xf numFmtId="164" fontId="6" fillId="0" borderId="1" xfId="0" applyNumberFormat="1" applyFont="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center"/>
    </xf>
    <xf numFmtId="0" fontId="5" fillId="0" borderId="0" xfId="0" applyFont="1" applyAlignment="1">
      <alignment horizontal="center" vertical="center"/>
    </xf>
    <xf numFmtId="3" fontId="11" fillId="0" borderId="0" xfId="0" applyNumberFormat="1" applyFont="1" applyFill="1" applyBorder="1" applyAlignment="1" applyProtection="1">
      <alignment horizontal="center" vertical="center"/>
    </xf>
    <xf numFmtId="0" fontId="5" fillId="0" borderId="0" xfId="0" applyFont="1" applyBorder="1" applyAlignment="1">
      <alignment horizontal="left" vertical="center"/>
    </xf>
    <xf numFmtId="0" fontId="0" fillId="0" borderId="0" xfId="0" applyFont="1" applyBorder="1"/>
    <xf numFmtId="0" fontId="38" fillId="0" borderId="0" xfId="0" applyFont="1" applyBorder="1" applyAlignment="1">
      <alignment horizontal="center" vertical="center" wrapText="1"/>
    </xf>
    <xf numFmtId="0" fontId="9" fillId="0" borderId="1" xfId="0" applyFont="1" applyBorder="1" applyAlignment="1">
      <alignment horizontal="center"/>
    </xf>
    <xf numFmtId="0" fontId="10" fillId="0" borderId="1" xfId="0" applyFont="1" applyBorder="1" applyAlignment="1">
      <alignment horizontal="center"/>
    </xf>
    <xf numFmtId="2" fontId="10" fillId="0" borderId="0" xfId="0" applyNumberFormat="1" applyFont="1" applyBorder="1" applyAlignment="1">
      <alignment horizontal="center" vertical="center"/>
    </xf>
    <xf numFmtId="1" fontId="11" fillId="0" borderId="0" xfId="0" applyNumberFormat="1" applyFont="1" applyBorder="1" applyAlignment="1">
      <alignment horizontal="center" vertical="center"/>
    </xf>
    <xf numFmtId="0" fontId="6" fillId="0" borderId="28" xfId="0" applyFont="1" applyBorder="1" applyAlignment="1">
      <alignment horizontal="center" vertical="center"/>
    </xf>
    <xf numFmtId="0" fontId="29" fillId="0" borderId="1" xfId="0" applyFont="1" applyBorder="1"/>
    <xf numFmtId="0" fontId="29" fillId="0" borderId="0" xfId="0" applyFont="1"/>
    <xf numFmtId="0" fontId="0" fillId="0" borderId="0" xfId="0" applyBorder="1" applyAlignment="1">
      <alignment horizont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left" vertical="center" wrapText="1"/>
    </xf>
    <xf numFmtId="0" fontId="4" fillId="0" borderId="0" xfId="0" applyFont="1" applyAlignment="1">
      <alignment horizontal="center" vertical="center"/>
    </xf>
    <xf numFmtId="0" fontId="6" fillId="0" borderId="24" xfId="0" applyFont="1" applyBorder="1" applyAlignment="1">
      <alignment horizontal="center" vertical="center"/>
    </xf>
    <xf numFmtId="2" fontId="6" fillId="0" borderId="0" xfId="0" applyNumberFormat="1" applyFont="1" applyBorder="1" applyAlignment="1">
      <alignment horizontal="center" vertical="center"/>
    </xf>
    <xf numFmtId="164" fontId="6" fillId="0" borderId="0" xfId="0" applyNumberFormat="1" applyFont="1" applyBorder="1" applyAlignment="1">
      <alignment horizontal="center" vertical="center"/>
    </xf>
    <xf numFmtId="2" fontId="4" fillId="0" borderId="1" xfId="0" applyNumberFormat="1" applyFont="1" applyBorder="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Fill="1" applyBorder="1" applyAlignment="1">
      <alignment horizontal="center" vertical="center" wrapText="1"/>
    </xf>
    <xf numFmtId="2" fontId="5" fillId="0" borderId="2" xfId="0" applyNumberFormat="1" applyFont="1" applyBorder="1" applyAlignment="1">
      <alignment horizontal="center" vertical="center"/>
    </xf>
    <xf numFmtId="2" fontId="0" fillId="0" borderId="1" xfId="0" applyNumberFormat="1" applyFont="1" applyBorder="1" applyAlignment="1">
      <alignment horizontal="center" vertical="center"/>
    </xf>
    <xf numFmtId="164" fontId="0" fillId="0" borderId="2"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4" fillId="0" borderId="31" xfId="0" applyFont="1" applyBorder="1" applyAlignment="1">
      <alignment horizontal="center" vertical="center"/>
    </xf>
    <xf numFmtId="0" fontId="4" fillId="0" borderId="24" xfId="0" applyFont="1" applyBorder="1" applyAlignment="1">
      <alignment horizontal="center" vertical="center" wrapText="1"/>
    </xf>
    <xf numFmtId="0" fontId="4" fillId="0" borderId="60" xfId="0" applyFont="1" applyBorder="1" applyAlignment="1">
      <alignment horizontal="center" vertical="center"/>
    </xf>
    <xf numFmtId="2" fontId="4" fillId="0" borderId="0" xfId="0" applyNumberFormat="1" applyFont="1" applyBorder="1" applyAlignment="1">
      <alignment horizontal="center"/>
    </xf>
    <xf numFmtId="0" fontId="4" fillId="0" borderId="28" xfId="0" applyFont="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Alignment="1">
      <alignment horizontal="center" vertical="center"/>
    </xf>
    <xf numFmtId="0" fontId="15" fillId="0" borderId="0" xfId="0" applyFont="1" applyAlignment="1">
      <alignment vertical="center" wrapText="1"/>
    </xf>
    <xf numFmtId="14" fontId="0" fillId="0" borderId="0" xfId="0" applyNumberFormat="1"/>
    <xf numFmtId="0" fontId="4" fillId="0" borderId="24"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2" fontId="0" fillId="0" borderId="1" xfId="0" applyNumberFormat="1" applyFont="1" applyBorder="1" applyAlignment="1">
      <alignment horizont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62" xfId="0" applyFont="1" applyBorder="1" applyAlignment="1">
      <alignment horizontal="center" vertical="center"/>
    </xf>
    <xf numFmtId="0" fontId="4" fillId="0" borderId="5" xfId="0" applyFont="1" applyBorder="1" applyAlignment="1">
      <alignment horizontal="center" vertical="center"/>
    </xf>
    <xf numFmtId="0" fontId="15" fillId="0" borderId="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4" fillId="0" borderId="1"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61" xfId="0" applyFont="1" applyBorder="1" applyAlignment="1">
      <alignment horizontal="center" vertical="center"/>
    </xf>
    <xf numFmtId="0" fontId="4" fillId="0" borderId="65" xfId="0" applyFont="1" applyBorder="1" applyAlignment="1">
      <alignment horizontal="center" vertical="center"/>
    </xf>
    <xf numFmtId="0" fontId="4" fillId="0" borderId="30" xfId="0" applyFont="1" applyBorder="1" applyAlignment="1">
      <alignment horizontal="center" vertical="center"/>
    </xf>
    <xf numFmtId="0" fontId="0" fillId="0" borderId="0" xfId="0" applyFont="1" applyBorder="1" applyAlignment="1">
      <alignment horizontal="center" vertical="center"/>
    </xf>
    <xf numFmtId="2" fontId="0" fillId="0" borderId="30" xfId="0" applyNumberFormat="1" applyFont="1" applyBorder="1" applyAlignment="1">
      <alignment horizontal="center" vertical="center"/>
    </xf>
    <xf numFmtId="164" fontId="0" fillId="0" borderId="24" xfId="0" applyNumberFormat="1" applyFont="1" applyBorder="1" applyAlignment="1">
      <alignment horizontal="center" vertical="center"/>
    </xf>
    <xf numFmtId="0" fontId="0" fillId="0" borderId="31" xfId="0" applyFont="1" applyBorder="1" applyAlignment="1">
      <alignment horizontal="center" vertical="center"/>
    </xf>
    <xf numFmtId="0" fontId="0" fillId="0" borderId="60" xfId="0" applyFont="1" applyBorder="1" applyAlignment="1">
      <alignment horizontal="center" vertical="center"/>
    </xf>
    <xf numFmtId="2" fontId="0" fillId="0" borderId="24" xfId="0" applyNumberFormat="1" applyFont="1" applyBorder="1" applyAlignment="1">
      <alignment horizontal="center" vertical="center"/>
    </xf>
    <xf numFmtId="2" fontId="0" fillId="0" borderId="26" xfId="0" applyNumberFormat="1" applyFont="1" applyBorder="1" applyAlignment="1">
      <alignment horizontal="center" vertical="center"/>
    </xf>
    <xf numFmtId="2"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0" fillId="0" borderId="0" xfId="0" applyFont="1" applyFill="1" applyBorder="1" applyAlignment="1">
      <alignment horizontal="center" vertical="center"/>
    </xf>
    <xf numFmtId="0" fontId="38" fillId="0" borderId="0" xfId="0" applyFont="1" applyBorder="1" applyAlignment="1">
      <alignment vertical="center" wrapText="1"/>
    </xf>
    <xf numFmtId="0" fontId="37" fillId="0" borderId="0" xfId="0" applyFont="1" applyBorder="1" applyAlignment="1">
      <alignment vertical="center" wrapText="1"/>
    </xf>
    <xf numFmtId="0" fontId="38" fillId="0" borderId="0"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4" fillId="0" borderId="0" xfId="0" applyFont="1" applyFill="1" applyBorder="1" applyAlignment="1">
      <alignment horizontal="center" vertical="center"/>
    </xf>
    <xf numFmtId="0" fontId="0" fillId="0" borderId="0" xfId="0" applyFont="1" applyAlignment="1">
      <alignment vertical="center"/>
    </xf>
    <xf numFmtId="9" fontId="9" fillId="0" borderId="0" xfId="0" applyNumberFormat="1" applyFont="1" applyAlignment="1">
      <alignment horizontal="center" vertical="center"/>
    </xf>
    <xf numFmtId="0" fontId="0" fillId="0" borderId="0" xfId="0" applyFont="1" applyAlignment="1">
      <alignment vertical="center" wrapText="1"/>
    </xf>
    <xf numFmtId="0" fontId="13" fillId="0" borderId="0" xfId="0" applyFont="1" applyAlignment="1">
      <alignment vertical="center"/>
    </xf>
    <xf numFmtId="0" fontId="4" fillId="0" borderId="9" xfId="0" applyFont="1" applyFill="1" applyBorder="1" applyAlignment="1">
      <alignment horizontal="center" vertical="center"/>
    </xf>
    <xf numFmtId="0" fontId="0" fillId="0" borderId="0" xfId="0" applyFont="1" applyFill="1" applyBorder="1" applyAlignment="1">
      <alignment horizont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30" xfId="0" applyFont="1" applyBorder="1" applyAlignment="1">
      <alignment horizontal="center" vertical="center"/>
    </xf>
    <xf numFmtId="9" fontId="5" fillId="0" borderId="1" xfId="0" applyNumberFormat="1" applyFont="1" applyBorder="1" applyAlignment="1">
      <alignment horizontal="center" vertical="center"/>
    </xf>
    <xf numFmtId="0" fontId="5" fillId="0" borderId="0"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horizontal="center" vertical="center"/>
    </xf>
    <xf numFmtId="0" fontId="0" fillId="0" borderId="1" xfId="0" applyFont="1" applyBorder="1" applyAlignment="1">
      <alignment horizontal="center" vertical="center"/>
    </xf>
    <xf numFmtId="0" fontId="6" fillId="0" borderId="0" xfId="0" applyFont="1" applyBorder="1" applyAlignment="1">
      <alignment horizontal="center" vertical="center"/>
    </xf>
    <xf numFmtId="164" fontId="4" fillId="0" borderId="24" xfId="0" applyNumberFormat="1" applyFont="1" applyBorder="1" applyAlignment="1">
      <alignment horizontal="center" vertical="center"/>
    </xf>
    <xf numFmtId="1" fontId="24" fillId="0" borderId="24" xfId="0" applyNumberFormat="1" applyFont="1" applyBorder="1" applyAlignment="1">
      <alignment horizontal="center" vertical="center"/>
    </xf>
    <xf numFmtId="1" fontId="4" fillId="0" borderId="24" xfId="0" applyNumberFormat="1"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28" xfId="0" applyFont="1" applyBorder="1" applyAlignment="1">
      <alignment horizontal="center" vertical="center"/>
    </xf>
    <xf numFmtId="0" fontId="5" fillId="0" borderId="1" xfId="0" applyFont="1" applyBorder="1" applyAlignment="1">
      <alignment horizontal="center" vertical="center"/>
    </xf>
    <xf numFmtId="2" fontId="0" fillId="0" borderId="1" xfId="0" applyNumberFormat="1" applyFont="1" applyBorder="1" applyAlignment="1">
      <alignment horizontal="center"/>
    </xf>
    <xf numFmtId="0" fontId="0" fillId="0" borderId="28" xfId="0" applyBorder="1" applyAlignment="1">
      <alignment horizontal="center" vertical="center"/>
    </xf>
    <xf numFmtId="2" fontId="0" fillId="0" borderId="28" xfId="0" applyNumberFormat="1" applyBorder="1" applyAlignment="1">
      <alignment horizontal="center" vertical="center"/>
    </xf>
    <xf numFmtId="0" fontId="0" fillId="0" borderId="1" xfId="0" applyFill="1" applyBorder="1" applyAlignment="1">
      <alignment horizontal="center" vertical="center"/>
    </xf>
    <xf numFmtId="0" fontId="5" fillId="0" borderId="0" xfId="0" applyFont="1" applyAlignment="1">
      <alignment horizontal="center" vertical="center"/>
    </xf>
    <xf numFmtId="0" fontId="0" fillId="0" borderId="0" xfId="0" applyAlignment="1"/>
    <xf numFmtId="164" fontId="0"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Border="1" applyAlignment="1">
      <alignment horizontal="center" vertical="center"/>
    </xf>
    <xf numFmtId="0" fontId="6" fillId="10" borderId="0" xfId="0" applyFont="1" applyFill="1" applyAlignment="1">
      <alignment horizontal="center" vertical="center"/>
    </xf>
    <xf numFmtId="0" fontId="6" fillId="9" borderId="0" xfId="0" applyFont="1" applyFill="1" applyAlignment="1">
      <alignment horizontal="center" vertical="center"/>
    </xf>
    <xf numFmtId="1" fontId="6" fillId="0" borderId="1" xfId="0" applyNumberFormat="1" applyFont="1" applyBorder="1" applyAlignment="1">
      <alignment horizontal="center" vertical="center"/>
    </xf>
    <xf numFmtId="0" fontId="5" fillId="0" borderId="0" xfId="0" applyFont="1" applyBorder="1" applyAlignment="1"/>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0" fillId="0" borderId="0" xfId="0" applyAlignment="1">
      <alignment horizontal="left" vertical="center" wrapText="1"/>
    </xf>
    <xf numFmtId="0" fontId="0" fillId="0" borderId="0" xfId="0" applyBorder="1" applyAlignment="1">
      <alignment horizontal="left"/>
    </xf>
    <xf numFmtId="0" fontId="0" fillId="0" borderId="0" xfId="0" applyBorder="1" applyAlignment="1">
      <alignment horizontal="left" vertical="center"/>
    </xf>
    <xf numFmtId="0" fontId="15" fillId="0" borderId="0" xfId="0" applyFont="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Font="1" applyBorder="1" applyAlignment="1"/>
    <xf numFmtId="0" fontId="4" fillId="0" borderId="0" xfId="0" applyFont="1" applyBorder="1"/>
    <xf numFmtId="0" fontId="4" fillId="0" borderId="0" xfId="0" applyFont="1" applyBorder="1" applyAlignment="1">
      <alignment vertical="center"/>
    </xf>
    <xf numFmtId="0" fontId="4" fillId="0" borderId="26"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0" fillId="0" borderId="61" xfId="0" applyFill="1" applyBorder="1"/>
    <xf numFmtId="0" fontId="0" fillId="0" borderId="61" xfId="0" applyFill="1" applyBorder="1" applyAlignment="1">
      <alignment horizontal="center"/>
    </xf>
    <xf numFmtId="0" fontId="0" fillId="0" borderId="61" xfId="0" applyFill="1" applyBorder="1" applyAlignment="1">
      <alignment horizontal="center" vertical="center"/>
    </xf>
    <xf numFmtId="0" fontId="0" fillId="0" borderId="65" xfId="0" applyFill="1" applyBorder="1" applyAlignment="1">
      <alignment horizontal="center" vertical="center"/>
    </xf>
    <xf numFmtId="0" fontId="0" fillId="0" borderId="9" xfId="0" applyFill="1" applyBorder="1" applyAlignment="1">
      <alignment horizontal="center" vertical="center"/>
    </xf>
    <xf numFmtId="0" fontId="0" fillId="0" borderId="88" xfId="0" applyBorder="1"/>
    <xf numFmtId="1" fontId="6" fillId="0" borderId="24" xfId="0" applyNumberFormat="1" applyFont="1" applyBorder="1" applyAlignment="1">
      <alignment horizontal="center" vertical="center"/>
    </xf>
    <xf numFmtId="0" fontId="0" fillId="0" borderId="0" xfId="0" applyAlignment="1"/>
    <xf numFmtId="0" fontId="0" fillId="0" borderId="0" xfId="0" applyAlignment="1">
      <alignment horizontal="left"/>
    </xf>
    <xf numFmtId="0" fontId="0" fillId="0" borderId="0" xfId="0" applyBorder="1" applyAlignment="1">
      <alignment horizontal="left"/>
    </xf>
    <xf numFmtId="0" fontId="0" fillId="0" borderId="0" xfId="0" applyBorder="1" applyAlignment="1">
      <alignment horizontal="center" vertical="center" wrapText="1"/>
    </xf>
    <xf numFmtId="0" fontId="4" fillId="0" borderId="17" xfId="0" applyFont="1" applyBorder="1"/>
    <xf numFmtId="0" fontId="6" fillId="0" borderId="26" xfId="0" applyFont="1" applyBorder="1" applyAlignment="1">
      <alignment horizontal="center" vertical="center"/>
    </xf>
    <xf numFmtId="0" fontId="0" fillId="0" borderId="5" xfId="0" applyFont="1" applyBorder="1"/>
    <xf numFmtId="0" fontId="4" fillId="0" borderId="17" xfId="0" applyFont="1" applyBorder="1" applyAlignment="1">
      <alignment vertical="center"/>
    </xf>
    <xf numFmtId="0" fontId="56" fillId="0" borderId="26" xfId="0" applyFont="1" applyBorder="1" applyAlignment="1">
      <alignment horizontal="center" vertical="center" wrapText="1"/>
    </xf>
    <xf numFmtId="0" fontId="56" fillId="0" borderId="27" xfId="0" applyFont="1" applyBorder="1" applyAlignment="1">
      <alignment horizontal="center" vertical="center" wrapText="1"/>
    </xf>
    <xf numFmtId="0" fontId="0" fillId="0" borderId="0" xfId="0" applyFont="1" applyBorder="1" applyAlignment="1">
      <alignment horizontal="center" vertical="center" wrapText="1"/>
    </xf>
    <xf numFmtId="0" fontId="15" fillId="0" borderId="0" xfId="0" applyFont="1" applyAlignment="1">
      <alignment horizontal="center" vertical="center"/>
    </xf>
    <xf numFmtId="164" fontId="0"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1" fontId="4" fillId="0" borderId="1" xfId="0" applyNumberFormat="1" applyFont="1" applyBorder="1" applyAlignment="1">
      <alignment horizontal="center" vertical="center"/>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0" fillId="0" borderId="5" xfId="0" applyFont="1" applyBorder="1" applyAlignment="1">
      <alignment horizontal="center" vertical="center" wrapText="1"/>
    </xf>
    <xf numFmtId="0" fontId="0" fillId="0" borderId="68" xfId="0" applyFont="1" applyBorder="1" applyAlignment="1">
      <alignment horizontal="center" vertical="center" wrapText="1"/>
    </xf>
    <xf numFmtId="0" fontId="29" fillId="0" borderId="3" xfId="0" applyFont="1" applyBorder="1"/>
    <xf numFmtId="0" fontId="25" fillId="0" borderId="1" xfId="0" applyFont="1" applyBorder="1"/>
    <xf numFmtId="0" fontId="0" fillId="0" borderId="68" xfId="0" applyFont="1" applyFill="1" applyBorder="1" applyAlignment="1">
      <alignment horizontal="center" vertical="center" wrapText="1"/>
    </xf>
    <xf numFmtId="0" fontId="0" fillId="0" borderId="70" xfId="0" applyFont="1" applyFill="1" applyBorder="1" applyAlignment="1">
      <alignment horizontal="center" vertical="center" wrapText="1"/>
    </xf>
    <xf numFmtId="0" fontId="0" fillId="0" borderId="89" xfId="0" applyFont="1" applyBorder="1" applyAlignment="1">
      <alignment horizontal="center" vertical="center" wrapText="1"/>
    </xf>
    <xf numFmtId="164" fontId="0" fillId="0" borderId="26" xfId="0" applyNumberFormat="1" applyFont="1" applyBorder="1" applyAlignment="1">
      <alignment horizontal="center" vertical="center"/>
    </xf>
    <xf numFmtId="164" fontId="0" fillId="0" borderId="31" xfId="0" applyNumberFormat="1" applyFont="1" applyBorder="1" applyAlignment="1">
      <alignment horizontal="center" vertical="center"/>
    </xf>
    <xf numFmtId="164" fontId="0" fillId="0" borderId="8" xfId="0" applyNumberFormat="1" applyFont="1" applyBorder="1" applyAlignment="1">
      <alignment horizontal="center"/>
    </xf>
    <xf numFmtId="164" fontId="0" fillId="0" borderId="5" xfId="0" applyNumberFormat="1" applyFont="1" applyBorder="1" applyAlignment="1">
      <alignment horizontal="center"/>
    </xf>
    <xf numFmtId="164" fontId="0" fillId="0" borderId="7" xfId="0" applyNumberFormat="1" applyFont="1" applyBorder="1" applyAlignment="1">
      <alignment horizontal="center"/>
    </xf>
    <xf numFmtId="164" fontId="4" fillId="0" borderId="0" xfId="0" applyNumberFormat="1" applyFont="1" applyBorder="1" applyAlignment="1">
      <alignment horizontal="center" vertical="center"/>
    </xf>
    <xf numFmtId="164" fontId="25" fillId="0" borderId="0" xfId="0" applyNumberFormat="1" applyFont="1"/>
    <xf numFmtId="164" fontId="4" fillId="0" borderId="1" xfId="0" applyNumberFormat="1" applyFont="1" applyBorder="1" applyAlignment="1">
      <alignment horizontal="center" vertical="center" wrapText="1"/>
    </xf>
    <xf numFmtId="164" fontId="4" fillId="0" borderId="86" xfId="0" applyNumberFormat="1" applyFont="1" applyBorder="1" applyAlignment="1">
      <alignment horizontal="center" vertical="center"/>
    </xf>
    <xf numFmtId="164" fontId="4" fillId="0" borderId="26" xfId="0" applyNumberFormat="1" applyFont="1" applyBorder="1" applyAlignment="1">
      <alignment horizontal="center" vertical="center"/>
    </xf>
    <xf numFmtId="164" fontId="4" fillId="0" borderId="61" xfId="0" applyNumberFormat="1" applyFont="1" applyBorder="1" applyAlignment="1">
      <alignment horizontal="center" vertical="center"/>
    </xf>
    <xf numFmtId="164" fontId="4" fillId="0" borderId="65" xfId="0" applyNumberFormat="1" applyFont="1" applyBorder="1" applyAlignment="1">
      <alignment horizontal="center" vertical="center"/>
    </xf>
    <xf numFmtId="164" fontId="4" fillId="0" borderId="27" xfId="0" applyNumberFormat="1" applyFont="1" applyBorder="1" applyAlignment="1">
      <alignment horizontal="center" vertical="center"/>
    </xf>
    <xf numFmtId="164" fontId="4" fillId="0" borderId="5" xfId="0" applyNumberFormat="1" applyFont="1" applyFill="1" applyBorder="1" applyAlignment="1">
      <alignment horizontal="center" vertical="center" wrapText="1"/>
    </xf>
    <xf numFmtId="164" fontId="24" fillId="0" borderId="24" xfId="0" applyNumberFormat="1" applyFont="1" applyBorder="1" applyAlignment="1">
      <alignment horizontal="center" vertical="center"/>
    </xf>
    <xf numFmtId="164" fontId="24" fillId="0" borderId="0" xfId="0" applyNumberFormat="1" applyFont="1" applyBorder="1" applyAlignment="1">
      <alignment horizontal="center" vertical="center"/>
    </xf>
    <xf numFmtId="164" fontId="5" fillId="0" borderId="24" xfId="0" applyNumberFormat="1" applyFont="1" applyBorder="1" applyAlignment="1">
      <alignment horizontal="center" vertical="center"/>
    </xf>
    <xf numFmtId="164" fontId="24" fillId="0" borderId="28" xfId="0" applyNumberFormat="1" applyFont="1" applyBorder="1" applyAlignment="1">
      <alignment horizontal="center" vertical="center"/>
    </xf>
    <xf numFmtId="164" fontId="24" fillId="0" borderId="1" xfId="0" applyNumberFormat="1" applyFont="1" applyBorder="1" applyAlignment="1">
      <alignment horizontal="center" vertical="center"/>
    </xf>
    <xf numFmtId="164" fontId="25" fillId="0" borderId="3" xfId="0" applyNumberFormat="1" applyFont="1" applyBorder="1" applyAlignment="1">
      <alignment horizontal="center"/>
    </xf>
    <xf numFmtId="164" fontId="25" fillId="0" borderId="1" xfId="0" applyNumberFormat="1" applyFont="1" applyBorder="1" applyAlignment="1">
      <alignment horizontal="center"/>
    </xf>
    <xf numFmtId="164" fontId="25" fillId="0" borderId="2" xfId="0" applyNumberFormat="1" applyFont="1" applyBorder="1" applyAlignment="1">
      <alignment horizontal="center"/>
    </xf>
    <xf numFmtId="164" fontId="25" fillId="0" borderId="1" xfId="0" applyNumberFormat="1" applyFont="1" applyBorder="1" applyAlignment="1">
      <alignment horizontal="center" vertical="center"/>
    </xf>
    <xf numFmtId="164" fontId="24" fillId="0" borderId="0" xfId="0" applyNumberFormat="1" applyFont="1" applyAlignment="1">
      <alignment horizontal="center" vertical="center"/>
    </xf>
    <xf numFmtId="164" fontId="4" fillId="0" borderId="31" xfId="0" applyNumberFormat="1" applyFont="1" applyBorder="1" applyAlignment="1">
      <alignment horizontal="center" vertical="center"/>
    </xf>
    <xf numFmtId="164" fontId="4" fillId="0" borderId="1" xfId="0" applyNumberFormat="1" applyFont="1" applyFill="1" applyBorder="1" applyAlignment="1">
      <alignment horizontal="center" vertical="center" wrapText="1"/>
    </xf>
    <xf numFmtId="164" fontId="26" fillId="0" borderId="1" xfId="0" applyNumberFormat="1" applyFont="1" applyBorder="1" applyAlignment="1">
      <alignment horizontal="center" vertical="center"/>
    </xf>
    <xf numFmtId="1" fontId="0" fillId="12" borderId="71" xfId="0" applyNumberFormat="1" applyFont="1" applyFill="1" applyBorder="1" applyAlignment="1">
      <alignment horizontal="center" vertical="center"/>
    </xf>
    <xf numFmtId="0" fontId="0" fillId="11" borderId="69" xfId="0" applyFont="1" applyFill="1" applyBorder="1" applyAlignment="1">
      <alignment horizontal="center" vertical="center" wrapText="1"/>
    </xf>
    <xf numFmtId="0" fontId="4" fillId="11" borderId="24" xfId="0" applyFont="1" applyFill="1" applyBorder="1" applyAlignment="1">
      <alignment horizontal="center" vertical="center" wrapText="1"/>
    </xf>
    <xf numFmtId="0" fontId="11" fillId="0" borderId="1" xfId="0" applyFont="1" applyBorder="1" applyAlignment="1">
      <alignment horizontal="center" vertical="center"/>
    </xf>
    <xf numFmtId="164" fontId="0" fillId="11" borderId="69" xfId="0" applyNumberFormat="1" applyFont="1" applyFill="1" applyBorder="1" applyAlignment="1">
      <alignment horizontal="center" vertical="center" wrapText="1"/>
    </xf>
    <xf numFmtId="0" fontId="0" fillId="0" borderId="0" xfId="0" applyAlignment="1">
      <alignment vertical="center" wrapText="1"/>
    </xf>
    <xf numFmtId="0" fontId="0" fillId="0" borderId="68" xfId="0" applyFont="1" applyBorder="1" applyAlignment="1">
      <alignment horizontal="center" vertical="center"/>
    </xf>
    <xf numFmtId="0" fontId="0" fillId="0" borderId="70" xfId="0" applyFont="1" applyBorder="1" applyAlignment="1">
      <alignment horizontal="center" vertical="center"/>
    </xf>
    <xf numFmtId="2" fontId="0" fillId="13" borderId="71" xfId="0" applyNumberFormat="1" applyFont="1" applyFill="1" applyBorder="1" applyAlignment="1">
      <alignment horizontal="center" vertical="center"/>
    </xf>
    <xf numFmtId="0" fontId="4" fillId="13" borderId="24" xfId="0" applyFont="1" applyFill="1" applyBorder="1" applyAlignment="1">
      <alignment horizontal="center" vertical="center"/>
    </xf>
    <xf numFmtId="0" fontId="0" fillId="0" borderId="0" xfId="0" applyAlignment="1"/>
    <xf numFmtId="0" fontId="0" fillId="0" borderId="48" xfId="0" applyBorder="1" applyAlignment="1">
      <alignment horizontal="center"/>
    </xf>
    <xf numFmtId="0" fontId="0" fillId="0" borderId="49" xfId="0" applyBorder="1" applyAlignment="1">
      <alignment horizontal="center"/>
    </xf>
    <xf numFmtId="0" fontId="0" fillId="0" borderId="32" xfId="0" applyBorder="1" applyAlignment="1">
      <alignment horizontal="center"/>
    </xf>
    <xf numFmtId="0" fontId="0" fillId="0" borderId="48" xfId="0" applyBorder="1" applyAlignment="1">
      <alignment horizontal="center" vertical="center"/>
    </xf>
    <xf numFmtId="0" fontId="0" fillId="0" borderId="52"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xf>
    <xf numFmtId="0" fontId="0" fillId="0" borderId="0" xfId="0" applyBorder="1" applyAlignment="1">
      <alignment horizontal="center" vertical="center" wrapText="1"/>
    </xf>
    <xf numFmtId="0" fontId="0" fillId="0" borderId="45" xfId="0" applyBorder="1" applyAlignment="1">
      <alignment horizontal="center" vertical="center"/>
    </xf>
    <xf numFmtId="0" fontId="4" fillId="0" borderId="0" xfId="0" applyFont="1" applyBorder="1" applyAlignment="1">
      <alignment horizontal="center"/>
    </xf>
    <xf numFmtId="0" fontId="9" fillId="0" borderId="0" xfId="0" applyFont="1" applyAlignment="1">
      <alignment vertical="center"/>
    </xf>
    <xf numFmtId="14" fontId="0" fillId="0" borderId="0" xfId="0" applyNumberFormat="1" applyBorder="1" applyAlignment="1">
      <alignment horizontal="center"/>
    </xf>
    <xf numFmtId="0" fontId="0" fillId="0" borderId="96" xfId="0"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5" xfId="0" applyFont="1" applyBorder="1" applyAlignment="1">
      <alignment horizontal="center" vertical="center" wrapText="1"/>
    </xf>
    <xf numFmtId="0" fontId="0" fillId="0" borderId="0" xfId="0" applyAlignment="1">
      <alignment horizont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xf>
    <xf numFmtId="0" fontId="5" fillId="0" borderId="1" xfId="0" applyFont="1" applyBorder="1" applyAlignment="1">
      <alignment horizontal="left" vertical="center"/>
    </xf>
    <xf numFmtId="0" fontId="6" fillId="0" borderId="0" xfId="0" applyFont="1" applyBorder="1" applyAlignment="1">
      <alignment horizontal="center" vertical="center" wrapText="1"/>
    </xf>
    <xf numFmtId="0" fontId="5" fillId="0" borderId="0" xfId="0" applyFont="1" applyBorder="1" applyAlignment="1">
      <alignment horizontal="center" vertical="center"/>
    </xf>
    <xf numFmtId="0" fontId="6"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Border="1" applyAlignment="1">
      <alignment horizontal="center" vertical="center" wrapText="1"/>
    </xf>
    <xf numFmtId="0" fontId="31" fillId="0" borderId="1" xfId="0" applyFont="1" applyBorder="1" applyAlignment="1">
      <alignment horizontal="center" vertical="center"/>
    </xf>
    <xf numFmtId="0" fontId="5" fillId="0" borderId="1" xfId="0" applyFont="1" applyFill="1" applyBorder="1" applyAlignment="1">
      <alignment horizontal="center" vertical="center"/>
    </xf>
    <xf numFmtId="0" fontId="9" fillId="0" borderId="102" xfId="0" applyFont="1" applyBorder="1" applyAlignment="1"/>
    <xf numFmtId="0" fontId="5" fillId="0" borderId="1" xfId="0" applyFont="1" applyBorder="1" applyAlignment="1">
      <alignment horizontal="center" vertical="center"/>
    </xf>
    <xf numFmtId="0" fontId="12" fillId="0" borderId="1" xfId="0" applyFont="1" applyBorder="1" applyAlignment="1">
      <alignment horizontal="center" vertical="center" wrapText="1"/>
    </xf>
    <xf numFmtId="3" fontId="11" fillId="0" borderId="2" xfId="0" applyNumberFormat="1" applyFont="1" applyFill="1" applyBorder="1" applyAlignment="1" applyProtection="1">
      <alignment horizont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left" vertical="center" wrapText="1"/>
    </xf>
    <xf numFmtId="164" fontId="25" fillId="0" borderId="1" xfId="0" applyNumberFormat="1" applyFont="1" applyBorder="1" applyAlignment="1">
      <alignment horizontal="center"/>
    </xf>
    <xf numFmtId="164" fontId="4" fillId="0" borderId="1" xfId="0" applyNumberFormat="1" applyFont="1" applyBorder="1" applyAlignment="1">
      <alignment horizontal="center" vertical="center"/>
    </xf>
    <xf numFmtId="0" fontId="0" fillId="0" borderId="0" xfId="0" applyFont="1" applyBorder="1" applyAlignment="1">
      <alignment horizontal="center" vertical="center" wrapText="1"/>
    </xf>
    <xf numFmtId="0" fontId="5" fillId="0" borderId="0" xfId="0" applyFont="1" applyAlignment="1"/>
    <xf numFmtId="0" fontId="0" fillId="0" borderId="0" xfId="0" applyFont="1" applyFill="1" applyBorder="1" applyAlignment="1">
      <alignment horizontal="center" vertical="center" wrapText="1"/>
    </xf>
    <xf numFmtId="164" fontId="0" fillId="0" borderId="1" xfId="0" applyNumberFormat="1" applyFont="1" applyBorder="1" applyAlignment="1">
      <alignment horizontal="center"/>
    </xf>
    <xf numFmtId="164" fontId="0" fillId="0" borderId="2" xfId="0" applyNumberFormat="1" applyFont="1" applyBorder="1" applyAlignment="1">
      <alignment horizontal="center"/>
    </xf>
    <xf numFmtId="164" fontId="0" fillId="0" borderId="1" xfId="0" applyNumberFormat="1" applyBorder="1" applyAlignment="1">
      <alignment horizontal="center"/>
    </xf>
    <xf numFmtId="0" fontId="5" fillId="0" borderId="0" xfId="0" applyFont="1" applyAlignment="1">
      <alignment horizontal="left" vertical="center" wrapText="1"/>
    </xf>
    <xf numFmtId="0" fontId="0" fillId="0" borderId="0" xfId="0" applyAlignment="1"/>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center"/>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0" fillId="0" borderId="1" xfId="0"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39" fillId="0" borderId="0" xfId="7" applyFont="1" applyFill="1" applyBorder="1" applyAlignment="1">
      <alignment horizontal="center" vertical="center"/>
    </xf>
    <xf numFmtId="0" fontId="0" fillId="14" borderId="0" xfId="0" applyFont="1" applyFill="1"/>
    <xf numFmtId="0" fontId="11" fillId="14" borderId="2" xfId="2" applyFont="1" applyFill="1" applyBorder="1" applyProtection="1"/>
    <xf numFmtId="0" fontId="5" fillId="14" borderId="1" xfId="0" applyFont="1" applyFill="1" applyBorder="1" applyAlignment="1">
      <alignment horizontal="center" vertical="center" wrapText="1"/>
    </xf>
    <xf numFmtId="0" fontId="5" fillId="14" borderId="1" xfId="0" applyFont="1" applyFill="1" applyBorder="1" applyAlignment="1">
      <alignment horizontal="center" vertical="center"/>
    </xf>
    <xf numFmtId="0" fontId="11" fillId="14"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7" fillId="14" borderId="0" xfId="0" applyFont="1" applyFill="1"/>
    <xf numFmtId="0" fontId="16" fillId="14" borderId="1" xfId="0" applyFont="1" applyFill="1" applyBorder="1" applyAlignment="1">
      <alignment horizontal="center" vertical="center"/>
    </xf>
    <xf numFmtId="0" fontId="6" fillId="0" borderId="0" xfId="0" applyFont="1"/>
    <xf numFmtId="0" fontId="6" fillId="14" borderId="0" xfId="0" applyFont="1" applyFill="1"/>
    <xf numFmtId="0" fontId="12" fillId="14" borderId="0" xfId="0" applyFont="1" applyFill="1"/>
    <xf numFmtId="0" fontId="11" fillId="14" borderId="1" xfId="0" applyFont="1" applyFill="1" applyBorder="1" applyProtection="1"/>
    <xf numFmtId="0" fontId="11" fillId="14" borderId="1" xfId="0" applyFont="1" applyFill="1" applyBorder="1" applyAlignment="1">
      <alignment horizontal="center" vertical="center"/>
    </xf>
    <xf numFmtId="3" fontId="11" fillId="14" borderId="2" xfId="0" applyNumberFormat="1" applyFont="1" applyFill="1" applyBorder="1" applyAlignment="1" applyProtection="1">
      <alignment horizontal="center"/>
    </xf>
    <xf numFmtId="2" fontId="11" fillId="14" borderId="1" xfId="2" applyNumberFormat="1" applyFont="1" applyFill="1" applyBorder="1" applyAlignment="1" applyProtection="1">
      <alignment horizontal="center" vertical="center"/>
    </xf>
    <xf numFmtId="0" fontId="11" fillId="14" borderId="0" xfId="0" applyFont="1" applyFill="1" applyBorder="1" applyAlignment="1">
      <alignment horizontal="center" vertical="center"/>
    </xf>
    <xf numFmtId="0" fontId="39" fillId="14" borderId="0" xfId="0" applyFont="1" applyFill="1"/>
    <xf numFmtId="0" fontId="5" fillId="14" borderId="1" xfId="0" applyFont="1" applyFill="1" applyBorder="1" applyAlignment="1">
      <alignment vertical="center" wrapText="1"/>
    </xf>
    <xf numFmtId="0" fontId="5" fillId="14" borderId="1" xfId="0" applyFont="1" applyFill="1" applyBorder="1" applyAlignment="1">
      <alignment horizontal="center"/>
    </xf>
    <xf numFmtId="0" fontId="0" fillId="14" borderId="0" xfId="0" applyFill="1"/>
    <xf numFmtId="0" fontId="5" fillId="14" borderId="1" xfId="0" applyFont="1" applyFill="1" applyBorder="1" applyAlignment="1" applyProtection="1">
      <alignment horizontal="center" vertical="center" wrapText="1"/>
      <protection locked="0"/>
    </xf>
    <xf numFmtId="0" fontId="12" fillId="0" borderId="1" xfId="2" applyFont="1" applyBorder="1" applyProtection="1"/>
    <xf numFmtId="0" fontId="39" fillId="0" borderId="0" xfId="0" applyFont="1" applyAlignment="1">
      <alignment horizontal="right"/>
    </xf>
    <xf numFmtId="0" fontId="17" fillId="0" borderId="0" xfId="0" applyFont="1" applyAlignment="1">
      <alignment horizontal="center"/>
    </xf>
    <xf numFmtId="2" fontId="17" fillId="0" borderId="0" xfId="0" applyNumberFormat="1" applyFont="1" applyAlignment="1">
      <alignment horizontal="center"/>
    </xf>
    <xf numFmtId="0" fontId="0" fillId="0" borderId="0" xfId="0" applyBorder="1" applyAlignment="1">
      <alignment horizontal="center" vertical="center"/>
    </xf>
    <xf numFmtId="0" fontId="40" fillId="0" borderId="0" xfId="0" applyFont="1" applyAlignment="1">
      <alignment horizontal="center"/>
    </xf>
    <xf numFmtId="0" fontId="67" fillId="0" borderId="0" xfId="0" applyFont="1" applyAlignment="1">
      <alignment horizontal="center"/>
    </xf>
    <xf numFmtId="0" fontId="68" fillId="0" borderId="0" xfId="0" applyFont="1" applyAlignment="1">
      <alignment horizontal="center" vertical="center"/>
    </xf>
    <xf numFmtId="0" fontId="69" fillId="0" borderId="1" xfId="0" applyFont="1" applyFill="1" applyBorder="1" applyAlignment="1">
      <alignment horizontal="center" vertical="center" wrapText="1"/>
    </xf>
    <xf numFmtId="0" fontId="70" fillId="0" borderId="0" xfId="0" applyFont="1"/>
    <xf numFmtId="0" fontId="69" fillId="0" borderId="1" xfId="0" applyFont="1" applyFill="1" applyBorder="1" applyAlignment="1">
      <alignment horizontal="center"/>
    </xf>
    <xf numFmtId="0" fontId="0" fillId="0" borderId="0" xfId="0"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3" fontId="11" fillId="0" borderId="67" xfId="0" applyNumberFormat="1" applyFont="1" applyFill="1" applyBorder="1" applyAlignment="1" applyProtection="1">
      <alignment horizontal="center" shrinkToFit="1"/>
    </xf>
    <xf numFmtId="0" fontId="11" fillId="0" borderId="72" xfId="2" applyFont="1" applyFill="1" applyBorder="1" applyAlignment="1" applyProtection="1">
      <alignment shrinkToFit="1"/>
    </xf>
    <xf numFmtId="3" fontId="11" fillId="0" borderId="69" xfId="0" applyNumberFormat="1" applyFont="1" applyFill="1" applyBorder="1" applyAlignment="1" applyProtection="1">
      <alignment horizontal="center" shrinkToFit="1"/>
    </xf>
    <xf numFmtId="2" fontId="11" fillId="0" borderId="98" xfId="0" applyNumberFormat="1" applyFont="1" applyFill="1" applyBorder="1" applyAlignment="1" applyProtection="1">
      <alignment horizontal="center"/>
    </xf>
    <xf numFmtId="2" fontId="11" fillId="0" borderId="70" xfId="0" applyNumberFormat="1" applyFont="1" applyFill="1" applyBorder="1" applyAlignment="1" applyProtection="1">
      <alignment horizontal="center"/>
    </xf>
    <xf numFmtId="2" fontId="11" fillId="0" borderId="71" xfId="0" applyNumberFormat="1" applyFont="1" applyFill="1" applyBorder="1" applyAlignment="1" applyProtection="1">
      <alignment horizontal="center"/>
    </xf>
    <xf numFmtId="3" fontId="11" fillId="0" borderId="66" xfId="0" applyNumberFormat="1" applyFont="1" applyFill="1" applyBorder="1" applyAlignment="1" applyProtection="1">
      <alignment horizontal="center" shrinkToFit="1"/>
    </xf>
    <xf numFmtId="3" fontId="11" fillId="0" borderId="68" xfId="0" applyNumberFormat="1" applyFont="1" applyFill="1" applyBorder="1" applyAlignment="1" applyProtection="1">
      <alignment horizontal="center" shrinkToFit="1"/>
    </xf>
    <xf numFmtId="2" fontId="11" fillId="0" borderId="1" xfId="0" applyNumberFormat="1" applyFont="1" applyFill="1" applyBorder="1" applyAlignment="1" applyProtection="1">
      <alignment horizontal="center" shrinkToFit="1"/>
    </xf>
    <xf numFmtId="2" fontId="11" fillId="0" borderId="74" xfId="0" applyNumberFormat="1" applyFont="1" applyFill="1" applyBorder="1" applyAlignment="1" applyProtection="1">
      <alignment horizontal="center"/>
    </xf>
    <xf numFmtId="2" fontId="11" fillId="0" borderId="72" xfId="2" applyNumberFormat="1" applyFont="1" applyFill="1" applyBorder="1" applyAlignment="1" applyProtection="1">
      <alignment horizontal="center" shrinkToFit="1"/>
    </xf>
    <xf numFmtId="2" fontId="11" fillId="0" borderId="69" xfId="2" applyNumberFormat="1" applyFont="1" applyFill="1" applyBorder="1" applyAlignment="1" applyProtection="1">
      <alignment horizontal="center" shrinkToFi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26" xfId="0" applyFont="1" applyBorder="1" applyAlignment="1">
      <alignment horizontal="center" vertical="center" wrapText="1"/>
    </xf>
    <xf numFmtId="1" fontId="4" fillId="0" borderId="1" xfId="0" applyNumberFormat="1" applyFont="1" applyBorder="1"/>
    <xf numFmtId="1" fontId="6" fillId="0" borderId="4" xfId="0" applyNumberFormat="1" applyFont="1" applyBorder="1" applyAlignment="1">
      <alignment horizontal="center" vertical="center"/>
    </xf>
    <xf numFmtId="1" fontId="6" fillId="0" borderId="6" xfId="0" applyNumberFormat="1" applyFont="1" applyBorder="1" applyAlignment="1">
      <alignment horizontal="center" vertical="center"/>
    </xf>
    <xf numFmtId="1" fontId="56" fillId="0" borderId="1" xfId="0" applyNumberFormat="1" applyFont="1" applyBorder="1" applyAlignment="1">
      <alignment horizontal="center" vertical="center"/>
    </xf>
    <xf numFmtId="1" fontId="56" fillId="0" borderId="3" xfId="0" applyNumberFormat="1" applyFont="1" applyBorder="1" applyAlignment="1">
      <alignment horizontal="center" vertical="center"/>
    </xf>
    <xf numFmtId="1" fontId="56" fillId="0" borderId="2" xfId="0" applyNumberFormat="1" applyFont="1" applyBorder="1" applyAlignment="1">
      <alignment horizontal="center" vertical="center"/>
    </xf>
    <xf numFmtId="0" fontId="5" fillId="0" borderId="0"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7" fillId="0" borderId="0" xfId="0" applyFont="1" applyBorder="1"/>
    <xf numFmtId="0" fontId="19" fillId="0" borderId="0" xfId="0" applyFont="1" applyFill="1" applyBorder="1" applyAlignment="1" applyProtection="1">
      <alignment horizontal="left" vertical="center"/>
    </xf>
    <xf numFmtId="0" fontId="6" fillId="0" borderId="0" xfId="0" applyFont="1" applyBorder="1" applyAlignment="1">
      <alignment vertical="center"/>
    </xf>
    <xf numFmtId="0" fontId="12"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12"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wrapText="1"/>
    </xf>
    <xf numFmtId="0" fontId="11" fillId="0" borderId="0" xfId="0" applyFont="1" applyBorder="1" applyAlignment="1" applyProtection="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1" fillId="0" borderId="1" xfId="2" applyFont="1" applyBorder="1" applyAlignment="1" applyProtection="1">
      <alignment horizontal="center"/>
    </xf>
    <xf numFmtId="0" fontId="11" fillId="0" borderId="2" xfId="2" applyFont="1" applyFill="1" applyBorder="1" applyAlignment="1" applyProtection="1">
      <alignment horizontal="center"/>
    </xf>
    <xf numFmtId="164" fontId="0" fillId="0" borderId="5" xfId="0" applyNumberFormat="1" applyFont="1" applyBorder="1" applyAlignment="1">
      <alignment horizontal="center" vertical="center"/>
    </xf>
    <xf numFmtId="164" fontId="0" fillId="0" borderId="5" xfId="0" applyNumberFormat="1"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3" xfId="0" applyFont="1" applyBorder="1" applyAlignment="1">
      <alignment horizontal="center" vertical="center"/>
    </xf>
    <xf numFmtId="4" fontId="11" fillId="0" borderId="1" xfId="0" applyNumberFormat="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Border="1" applyAlignment="1">
      <alignment horizontal="center"/>
    </xf>
    <xf numFmtId="0" fontId="5" fillId="0" borderId="1" xfId="0" applyFont="1" applyFill="1" applyBorder="1" applyAlignment="1">
      <alignment horizontal="center" vertical="center"/>
    </xf>
    <xf numFmtId="0" fontId="0" fillId="0" borderId="53" xfId="0" applyFont="1" applyBorder="1" applyAlignment="1">
      <alignment horizontal="center" vertical="center"/>
    </xf>
    <xf numFmtId="0" fontId="0" fillId="0" borderId="53" xfId="0" applyFont="1" applyBorder="1" applyAlignment="1">
      <alignment horizontal="center"/>
    </xf>
    <xf numFmtId="0" fontId="0" fillId="0" borderId="51" xfId="0" applyFont="1" applyBorder="1" applyAlignment="1">
      <alignment horizontal="center"/>
    </xf>
    <xf numFmtId="0" fontId="0" fillId="0" borderId="46" xfId="0" applyFont="1" applyBorder="1" applyAlignment="1">
      <alignment horizontal="center" vertical="center"/>
    </xf>
    <xf numFmtId="0" fontId="0" fillId="0" borderId="53" xfId="0" applyFont="1" applyBorder="1"/>
    <xf numFmtId="0" fontId="0" fillId="0" borderId="47" xfId="0" applyFont="1" applyBorder="1" applyAlignment="1">
      <alignment horizontal="center" vertical="center"/>
    </xf>
    <xf numFmtId="2" fontId="16" fillId="0" borderId="1" xfId="0" applyNumberFormat="1" applyFont="1" applyBorder="1" applyAlignment="1">
      <alignment horizontal="center" vertical="center" wrapText="1"/>
    </xf>
    <xf numFmtId="0" fontId="12" fillId="0" borderId="0" xfId="0" applyFont="1"/>
    <xf numFmtId="0" fontId="11" fillId="0" borderId="1" xfId="0" applyFont="1" applyBorder="1" applyAlignment="1">
      <alignment horizontal="left" vertical="center" wrapText="1"/>
    </xf>
    <xf numFmtId="164"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xf>
    <xf numFmtId="164" fontId="11" fillId="0" borderId="1" xfId="0" applyNumberFormat="1" applyFont="1" applyFill="1" applyBorder="1" applyAlignment="1" applyProtection="1">
      <alignment horizontal="center" vertical="center"/>
    </xf>
    <xf numFmtId="0" fontId="39" fillId="0" borderId="0" xfId="0" applyFont="1"/>
    <xf numFmtId="0" fontId="5" fillId="0" borderId="0" xfId="0" applyFont="1" applyFill="1" applyAlignment="1">
      <alignment horizontal="center" vertical="center"/>
    </xf>
    <xf numFmtId="0" fontId="4" fillId="0" borderId="0" xfId="0" applyFont="1" applyFill="1"/>
    <xf numFmtId="0" fontId="16" fillId="0" borderId="1" xfId="0" applyFont="1" applyFill="1" applyBorder="1" applyAlignment="1">
      <alignment horizontal="center" vertical="center" wrapText="1"/>
    </xf>
    <xf numFmtId="0" fontId="0" fillId="0" borderId="24" xfId="0" applyFill="1" applyBorder="1" applyAlignment="1">
      <alignment horizontal="center"/>
    </xf>
    <xf numFmtId="2" fontId="19" fillId="0" borderId="0" xfId="2" applyNumberFormat="1" applyFont="1" applyFill="1" applyBorder="1" applyAlignment="1" applyProtection="1">
      <alignment horizontal="center" vertical="center"/>
    </xf>
    <xf numFmtId="0" fontId="0" fillId="0" borderId="0" xfId="0" applyFill="1" applyBorder="1"/>
    <xf numFmtId="0" fontId="5" fillId="0" borderId="0"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4" fillId="0" borderId="24"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4" fillId="0" borderId="28"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5" fillId="0" borderId="1" xfId="0" applyFont="1" applyBorder="1" applyAlignment="1">
      <alignment horizontal="left" vertical="center"/>
    </xf>
    <xf numFmtId="0" fontId="0" fillId="0" borderId="0" xfId="0"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6" fillId="0" borderId="4" xfId="0" applyFont="1" applyBorder="1" applyAlignment="1">
      <alignment horizontal="center" vertical="center" wrapText="1"/>
    </xf>
    <xf numFmtId="0" fontId="56"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164" fontId="0" fillId="0" borderId="1" xfId="0" applyNumberFormat="1" applyFont="1" applyBorder="1" applyAlignment="1">
      <alignment horizont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2" fontId="4" fillId="0" borderId="0" xfId="0" applyNumberFormat="1" applyFont="1" applyBorder="1" applyAlignment="1">
      <alignment horizont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xf>
    <xf numFmtId="0" fontId="15" fillId="0" borderId="0" xfId="0" applyFont="1" applyAlignment="1">
      <alignment horizontal="center" vertical="center" wrapText="1"/>
    </xf>
    <xf numFmtId="0" fontId="4" fillId="0" borderId="14" xfId="0" applyFont="1" applyBorder="1" applyAlignment="1">
      <alignment horizontal="center" vertical="center" wrapText="1"/>
    </xf>
    <xf numFmtId="0" fontId="0" fillId="0" borderId="0" xfId="0" applyAlignment="1">
      <alignment vertical="center" wrapText="1"/>
    </xf>
    <xf numFmtId="0" fontId="11" fillId="0" borderId="1" xfId="0" applyFont="1" applyFill="1" applyBorder="1" applyAlignment="1">
      <alignment horizontal="center"/>
    </xf>
    <xf numFmtId="0" fontId="4" fillId="0" borderId="0" xfId="0" applyFont="1" applyAlignment="1">
      <alignment horizontal="center" vertical="center"/>
    </xf>
    <xf numFmtId="0" fontId="39" fillId="0" borderId="1" xfId="0" applyFont="1" applyBorder="1" applyAlignment="1">
      <alignment horizontal="center" vertical="center"/>
    </xf>
    <xf numFmtId="0" fontId="4" fillId="0" borderId="0" xfId="0" applyFont="1" applyFill="1" applyBorder="1" applyAlignment="1">
      <alignment horizontal="center" vertical="center" wrapText="1"/>
    </xf>
    <xf numFmtId="164" fontId="0" fillId="0" borderId="0" xfId="0" applyNumberFormat="1" applyFont="1" applyBorder="1" applyAlignment="1">
      <alignment horizontal="center" vertical="center"/>
    </xf>
    <xf numFmtId="0" fontId="4" fillId="0" borderId="7" xfId="0" applyFont="1" applyBorder="1" applyAlignment="1">
      <alignment horizontal="center" vertical="center"/>
    </xf>
    <xf numFmtId="0" fontId="29" fillId="0" borderId="16" xfId="0" applyFont="1" applyBorder="1" applyAlignment="1">
      <alignment horizontal="center" vertical="center" wrapText="1"/>
    </xf>
    <xf numFmtId="164" fontId="9" fillId="0" borderId="16" xfId="0" applyNumberFormat="1" applyFont="1" applyBorder="1" applyAlignment="1">
      <alignment horizontal="center"/>
    </xf>
    <xf numFmtId="1" fontId="0" fillId="0" borderId="0" xfId="0" applyNumberFormat="1" applyFont="1" applyFill="1" applyBorder="1" applyAlignment="1">
      <alignment horizontal="center" vertical="center"/>
    </xf>
    <xf numFmtId="0" fontId="4" fillId="0" borderId="31"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59" xfId="0" applyFont="1" applyBorder="1" applyAlignment="1">
      <alignment horizontal="center" vertical="center"/>
    </xf>
    <xf numFmtId="0" fontId="0" fillId="0" borderId="17" xfId="0" applyFont="1" applyFill="1" applyBorder="1" applyAlignment="1">
      <alignment horizontal="center" vertical="center" wrapText="1"/>
    </xf>
    <xf numFmtId="1" fontId="0" fillId="0" borderId="17" xfId="0" applyNumberFormat="1" applyFont="1" applyFill="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0" xfId="0" applyBorder="1" applyAlignment="1">
      <alignment horizontal="left" vertical="center" wrapText="1"/>
    </xf>
    <xf numFmtId="0" fontId="56" fillId="0" borderId="1" xfId="0" applyFont="1" applyFill="1" applyBorder="1" applyAlignment="1">
      <alignment horizontal="center" vertical="center" wrapText="1"/>
    </xf>
    <xf numFmtId="164" fontId="56" fillId="0" borderId="1" xfId="0" applyNumberFormat="1" applyFont="1" applyFill="1" applyBorder="1" applyAlignment="1">
      <alignment horizontal="center" vertical="center"/>
    </xf>
    <xf numFmtId="0" fontId="6" fillId="14" borderId="1" xfId="0" applyFont="1" applyFill="1" applyBorder="1" applyAlignment="1">
      <alignment horizontal="center" vertical="center" wrapText="1"/>
    </xf>
    <xf numFmtId="164" fontId="56" fillId="0" borderId="1" xfId="0" applyNumberFormat="1" applyFont="1" applyBorder="1" applyAlignment="1">
      <alignment horizontal="center" vertical="center"/>
    </xf>
    <xf numFmtId="0" fontId="4" fillId="0" borderId="1" xfId="0" applyFont="1" applyBorder="1" applyAlignment="1">
      <alignment horizontal="center" vertical="center"/>
    </xf>
    <xf numFmtId="0" fontId="39" fillId="0" borderId="31" xfId="0" applyFont="1" applyBorder="1" applyAlignment="1">
      <alignment horizontal="center" vertical="center" wrapText="1"/>
    </xf>
    <xf numFmtId="0" fontId="6"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0" xfId="0" applyFont="1" applyBorder="1" applyAlignment="1">
      <alignment horizontal="center" vertical="center" wrapText="1"/>
    </xf>
    <xf numFmtId="0" fontId="5" fillId="0" borderId="0" xfId="0" applyFont="1" applyAlignment="1">
      <alignment horizontal="center" vertical="center"/>
    </xf>
    <xf numFmtId="164" fontId="39" fillId="0" borderId="1" xfId="0" applyNumberFormat="1" applyFont="1" applyFill="1" applyBorder="1" applyAlignment="1">
      <alignment horizontal="center" vertical="center"/>
    </xf>
    <xf numFmtId="0" fontId="0" fillId="0" borderId="0" xfId="0" applyAlignment="1">
      <alignment vertical="center"/>
    </xf>
    <xf numFmtId="0" fontId="0" fillId="0" borderId="0" xfId="0" applyFill="1" applyAlignment="1">
      <alignment vertical="center"/>
    </xf>
    <xf numFmtId="0" fontId="0" fillId="0" borderId="17" xfId="0" applyBorder="1" applyAlignment="1">
      <alignment vertical="center"/>
    </xf>
    <xf numFmtId="1" fontId="0" fillId="0" borderId="1" xfId="0" applyNumberFormat="1" applyFont="1" applyBorder="1" applyAlignment="1">
      <alignment horizontal="center" vertical="center"/>
    </xf>
    <xf numFmtId="164" fontId="0" fillId="0" borderId="1" xfId="0" applyNumberFormat="1" applyFont="1" applyFill="1" applyBorder="1" applyAlignment="1">
      <alignment horizontal="center" vertical="center"/>
    </xf>
    <xf numFmtId="0" fontId="4" fillId="0" borderId="0" xfId="0" applyFont="1" applyAlignment="1">
      <alignment vertical="center"/>
    </xf>
    <xf numFmtId="0" fontId="39" fillId="0" borderId="0" xfId="0" applyFont="1" applyAlignment="1">
      <alignment vertical="center"/>
    </xf>
    <xf numFmtId="164" fontId="39"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xf numFmtId="0" fontId="0" fillId="0" borderId="0" xfId="0"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0" fillId="0" borderId="0" xfId="0" applyFont="1" applyBorder="1" applyAlignment="1">
      <alignment horizontal="center"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0" fontId="39" fillId="0" borderId="1" xfId="0" applyFont="1" applyFill="1" applyBorder="1" applyAlignment="1">
      <alignment horizontal="center" vertical="center" wrapText="1"/>
    </xf>
    <xf numFmtId="0" fontId="6" fillId="0" borderId="30" xfId="0" applyFont="1" applyBorder="1" applyAlignment="1">
      <alignment horizontal="center" vertical="center"/>
    </xf>
    <xf numFmtId="164" fontId="6" fillId="0" borderId="24" xfId="0" applyNumberFormat="1" applyFont="1" applyBorder="1" applyAlignment="1">
      <alignment horizontal="center" vertical="center"/>
    </xf>
    <xf numFmtId="1" fontId="6" fillId="0" borderId="28" xfId="0" applyNumberFormat="1" applyFont="1" applyBorder="1" applyAlignment="1">
      <alignment horizontal="center" vertical="center"/>
    </xf>
    <xf numFmtId="1" fontId="6" fillId="0" borderId="3" xfId="0" applyNumberFormat="1" applyFont="1" applyBorder="1" applyAlignment="1">
      <alignment horizontal="center" vertical="center"/>
    </xf>
    <xf numFmtId="1" fontId="6" fillId="0" borderId="2" xfId="0" applyNumberFormat="1" applyFont="1" applyBorder="1" applyAlignment="1">
      <alignment horizontal="center" vertical="center"/>
    </xf>
    <xf numFmtId="164" fontId="6" fillId="0" borderId="24" xfId="0" applyNumberFormat="1" applyFont="1" applyBorder="1"/>
    <xf numFmtId="164" fontId="6" fillId="0" borderId="86" xfId="0" applyNumberFormat="1" applyFont="1" applyBorder="1" applyAlignment="1">
      <alignment horizontal="center" vertical="center"/>
    </xf>
    <xf numFmtId="1" fontId="6" fillId="0" borderId="1" xfId="0" applyNumberFormat="1" applyFont="1" applyFill="1" applyBorder="1" applyAlignment="1">
      <alignment horizontal="center" vertical="center"/>
    </xf>
    <xf numFmtId="1" fontId="6" fillId="0" borderId="2" xfId="0" applyNumberFormat="1" applyFont="1" applyFill="1" applyBorder="1" applyAlignment="1">
      <alignment horizontal="center" vertical="center"/>
    </xf>
    <xf numFmtId="164" fontId="6" fillId="0" borderId="0" xfId="0" applyNumberFormat="1" applyFont="1" applyBorder="1" applyAlignment="1">
      <alignment vertical="center"/>
    </xf>
    <xf numFmtId="0" fontId="12" fillId="0" borderId="0" xfId="0" applyFont="1" applyFill="1" applyBorder="1" applyAlignment="1">
      <alignment horizontal="center" vertical="center"/>
    </xf>
    <xf numFmtId="164" fontId="5" fillId="0" borderId="0" xfId="0" applyNumberFormat="1" applyFont="1" applyBorder="1" applyAlignment="1">
      <alignment horizontal="center" vertical="center"/>
    </xf>
    <xf numFmtId="164" fontId="0" fillId="0" borderId="0" xfId="0" applyNumberFormat="1" applyFont="1" applyBorder="1" applyAlignment="1">
      <alignment vertical="center"/>
    </xf>
    <xf numFmtId="0" fontId="37" fillId="0" borderId="0" xfId="0" applyFont="1" applyFill="1" applyBorder="1" applyAlignment="1">
      <alignment horizontal="center" vertical="center"/>
    </xf>
    <xf numFmtId="0" fontId="56" fillId="0" borderId="0" xfId="0" applyFont="1" applyFill="1" applyBorder="1" applyAlignment="1">
      <alignment horizontal="center" vertical="center"/>
    </xf>
    <xf numFmtId="164" fontId="4" fillId="0" borderId="0" xfId="0" applyNumberFormat="1" applyFont="1" applyBorder="1" applyAlignment="1">
      <alignment vertical="center"/>
    </xf>
    <xf numFmtId="164" fontId="5" fillId="0" borderId="0" xfId="0" applyNumberFormat="1" applyFont="1" applyBorder="1" applyAlignment="1">
      <alignment vertical="center"/>
    </xf>
    <xf numFmtId="0" fontId="33" fillId="0" borderId="0" xfId="0" applyFont="1" applyFill="1" applyBorder="1" applyAlignment="1">
      <alignment horizontal="center" vertical="center"/>
    </xf>
    <xf numFmtId="164" fontId="0" fillId="0" borderId="0" xfId="0" applyNumberFormat="1" applyBorder="1" applyAlignment="1">
      <alignment vertical="center"/>
    </xf>
    <xf numFmtId="164" fontId="88" fillId="0" borderId="5" xfId="0" applyNumberFormat="1" applyFont="1" applyBorder="1" applyAlignment="1">
      <alignment horizontal="center" vertical="center"/>
    </xf>
    <xf numFmtId="0" fontId="87" fillId="0" borderId="0" xfId="0" applyFont="1"/>
    <xf numFmtId="0" fontId="86" fillId="0" borderId="0" xfId="0" applyFont="1"/>
    <xf numFmtId="0" fontId="90" fillId="0" borderId="0" xfId="0" applyFont="1" applyAlignment="1">
      <alignment horizontal="center" vertical="center"/>
    </xf>
    <xf numFmtId="0" fontId="91" fillId="0" borderId="0" xfId="0" applyFont="1" applyAlignment="1">
      <alignment horizontal="center" vertical="center"/>
    </xf>
    <xf numFmtId="0" fontId="92" fillId="0" borderId="0" xfId="0" applyFont="1" applyAlignment="1">
      <alignment horizontal="center" vertical="center"/>
    </xf>
    <xf numFmtId="0" fontId="87" fillId="0" borderId="0" xfId="0" applyFont="1" applyBorder="1" applyAlignment="1">
      <alignment horizontal="center" vertical="center"/>
    </xf>
    <xf numFmtId="0" fontId="87" fillId="0" borderId="0" xfId="0" applyFont="1" applyAlignment="1">
      <alignment horizontal="center" vertical="center"/>
    </xf>
    <xf numFmtId="0" fontId="89" fillId="0" borderId="0" xfId="0" applyFont="1" applyAlignment="1">
      <alignment horizontal="center" vertical="center"/>
    </xf>
    <xf numFmtId="0" fontId="86" fillId="0" borderId="0" xfId="0" applyFont="1" applyBorder="1" applyAlignment="1">
      <alignment horizontal="center" vertical="center"/>
    </xf>
    <xf numFmtId="0" fontId="86" fillId="0" borderId="0" xfId="0" applyFont="1" applyAlignment="1">
      <alignment horizontal="center" vertical="center"/>
    </xf>
    <xf numFmtId="0" fontId="86" fillId="0" borderId="0" xfId="0" applyFont="1" applyAlignment="1">
      <alignment horizontal="left" vertical="center" wrapText="1"/>
    </xf>
    <xf numFmtId="0" fontId="0" fillId="10" borderId="50" xfId="0" applyFill="1" applyBorder="1" applyAlignment="1" applyProtection="1">
      <alignment horizontal="center" vertical="center"/>
      <protection locked="0"/>
    </xf>
    <xf numFmtId="0" fontId="0" fillId="10" borderId="33" xfId="0" applyFill="1" applyBorder="1" applyAlignment="1" applyProtection="1">
      <alignment horizontal="center" vertical="center"/>
      <protection locked="0"/>
    </xf>
    <xf numFmtId="0" fontId="5" fillId="9" borderId="51" xfId="0" applyFont="1" applyFill="1" applyBorder="1" applyAlignment="1" applyProtection="1">
      <alignment horizontal="center"/>
      <protection locked="0"/>
    </xf>
    <xf numFmtId="0" fontId="5" fillId="9" borderId="72" xfId="0" applyFont="1" applyFill="1" applyBorder="1" applyAlignment="1" applyProtection="1">
      <alignment horizontal="center" vertical="center"/>
      <protection locked="0"/>
    </xf>
    <xf numFmtId="0" fontId="5" fillId="9" borderId="94" xfId="0" applyFont="1" applyFill="1" applyBorder="1" applyAlignment="1" applyProtection="1">
      <alignment horizontal="center" vertical="center"/>
      <protection locked="0"/>
    </xf>
    <xf numFmtId="0" fontId="5" fillId="9" borderId="79" xfId="0" applyFont="1" applyFill="1" applyBorder="1" applyAlignment="1" applyProtection="1">
      <alignment horizontal="center"/>
      <protection locked="0"/>
    </xf>
    <xf numFmtId="0" fontId="5" fillId="9" borderId="72" xfId="0" applyFont="1" applyFill="1" applyBorder="1" applyAlignment="1" applyProtection="1">
      <alignment horizontal="center"/>
      <protection locked="0"/>
    </xf>
    <xf numFmtId="0" fontId="5" fillId="9" borderId="74" xfId="0" applyFont="1" applyFill="1" applyBorder="1" applyAlignment="1" applyProtection="1">
      <alignment horizontal="center"/>
      <protection locked="0"/>
    </xf>
    <xf numFmtId="0" fontId="5" fillId="9" borderId="81" xfId="0" applyFont="1" applyFill="1" applyBorder="1" applyAlignment="1" applyProtection="1">
      <alignment horizontal="center"/>
      <protection locked="0"/>
    </xf>
    <xf numFmtId="0" fontId="5" fillId="9" borderId="82" xfId="0" applyFont="1" applyFill="1" applyBorder="1" applyAlignment="1" applyProtection="1">
      <alignment horizontal="center"/>
      <protection locked="0"/>
    </xf>
    <xf numFmtId="0" fontId="93" fillId="0" borderId="0" xfId="0" applyFont="1"/>
    <xf numFmtId="0" fontId="0" fillId="9" borderId="90" xfId="0" applyFont="1" applyFill="1" applyBorder="1" applyAlignment="1" applyProtection="1">
      <alignment horizontal="center" vertical="center"/>
      <protection locked="0"/>
    </xf>
    <xf numFmtId="0" fontId="0" fillId="9" borderId="69" xfId="0" applyFont="1" applyFill="1" applyBorder="1" applyAlignment="1" applyProtection="1">
      <alignment horizontal="center" vertical="center"/>
      <protection locked="0"/>
    </xf>
    <xf numFmtId="14" fontId="0" fillId="9" borderId="28" xfId="0" applyNumberFormat="1" applyFont="1" applyFill="1" applyBorder="1" applyAlignment="1" applyProtection="1">
      <alignment horizontal="center" vertical="center"/>
      <protection locked="0"/>
    </xf>
    <xf numFmtId="0" fontId="0" fillId="10" borderId="1" xfId="0" applyFont="1" applyFill="1" applyBorder="1" applyAlignment="1" applyProtection="1">
      <alignment horizontal="center" vertical="center"/>
      <protection locked="0"/>
    </xf>
    <xf numFmtId="0" fontId="0" fillId="9" borderId="1" xfId="0" applyFont="1" applyFill="1" applyBorder="1" applyAlignment="1" applyProtection="1">
      <alignment horizontal="center" vertical="center"/>
      <protection locked="0"/>
    </xf>
    <xf numFmtId="2" fontId="0" fillId="9" borderId="1" xfId="0" applyNumberFormat="1" applyFont="1" applyFill="1" applyBorder="1" applyAlignment="1" applyProtection="1">
      <alignment horizontal="center" vertical="center"/>
      <protection locked="0"/>
    </xf>
    <xf numFmtId="0" fontId="0" fillId="10" borderId="5" xfId="0" applyFont="1" applyFill="1" applyBorder="1" applyAlignment="1" applyProtection="1">
      <alignment horizontal="center" vertical="center"/>
      <protection locked="0"/>
    </xf>
    <xf numFmtId="14" fontId="5" fillId="9" borderId="28" xfId="0" applyNumberFormat="1" applyFont="1" applyFill="1" applyBorder="1" applyAlignment="1" applyProtection="1">
      <alignment horizontal="center" vertical="center"/>
      <protection locked="0"/>
    </xf>
    <xf numFmtId="2" fontId="5" fillId="9" borderId="1" xfId="0" applyNumberFormat="1" applyFont="1" applyFill="1" applyBorder="1" applyAlignment="1" applyProtection="1">
      <alignment horizontal="center" vertical="center"/>
      <protection locked="0"/>
    </xf>
    <xf numFmtId="0" fontId="0" fillId="11" borderId="69" xfId="0" applyFont="1" applyFill="1" applyBorder="1" applyAlignment="1" applyProtection="1">
      <alignment horizontal="center" vertical="center" wrapText="1"/>
    </xf>
    <xf numFmtId="1" fontId="0" fillId="12" borderId="71" xfId="0" applyNumberFormat="1" applyFont="1" applyFill="1" applyBorder="1" applyAlignment="1" applyProtection="1">
      <alignment horizontal="center" vertical="center"/>
    </xf>
    <xf numFmtId="164" fontId="0" fillId="0" borderId="71" xfId="0" applyNumberFormat="1" applyFont="1" applyFill="1" applyBorder="1" applyAlignment="1">
      <alignment horizontal="center" vertical="center"/>
    </xf>
    <xf numFmtId="0" fontId="0" fillId="10" borderId="24" xfId="0" applyFont="1" applyFill="1" applyBorder="1" applyAlignment="1" applyProtection="1">
      <alignment horizontal="center" vertical="center"/>
      <protection locked="0"/>
    </xf>
    <xf numFmtId="0" fontId="0" fillId="9" borderId="24" xfId="0" applyFont="1" applyFill="1" applyBorder="1" applyAlignment="1" applyProtection="1">
      <alignment horizontal="center" vertical="center"/>
      <protection locked="0"/>
    </xf>
    <xf numFmtId="164" fontId="0" fillId="9" borderId="24" xfId="0" applyNumberFormat="1" applyFont="1" applyFill="1" applyBorder="1" applyAlignment="1" applyProtection="1">
      <alignment horizontal="center" vertical="center"/>
      <protection locked="0"/>
    </xf>
    <xf numFmtId="166" fontId="0" fillId="9" borderId="24" xfId="0" applyNumberFormat="1" applyFont="1" applyFill="1" applyBorder="1" applyAlignment="1" applyProtection="1">
      <alignment horizontal="center" vertical="center"/>
      <protection locked="0"/>
    </xf>
    <xf numFmtId="0" fontId="0" fillId="10" borderId="26" xfId="0" applyFont="1" applyFill="1" applyBorder="1" applyAlignment="1" applyProtection="1">
      <alignment horizontal="center" vertical="center"/>
      <protection locked="0"/>
    </xf>
    <xf numFmtId="166" fontId="0" fillId="9" borderId="25" xfId="0" applyNumberFormat="1" applyFont="1" applyFill="1" applyBorder="1" applyAlignment="1" applyProtection="1">
      <alignment horizontal="center" vertical="center"/>
      <protection locked="0"/>
    </xf>
    <xf numFmtId="0" fontId="24" fillId="10" borderId="24" xfId="0" applyFont="1" applyFill="1" applyBorder="1" applyAlignment="1" applyProtection="1">
      <alignment horizontal="center" vertical="center"/>
      <protection locked="0"/>
    </xf>
    <xf numFmtId="164" fontId="5" fillId="9" borderId="24" xfId="0" applyNumberFormat="1" applyFont="1" applyFill="1" applyBorder="1" applyAlignment="1" applyProtection="1">
      <alignment horizontal="center" vertical="center"/>
      <protection locked="0"/>
    </xf>
    <xf numFmtId="166" fontId="24" fillId="9" borderId="28" xfId="0" applyNumberFormat="1" applyFont="1" applyFill="1" applyBorder="1" applyAlignment="1" applyProtection="1">
      <alignment horizontal="center" vertical="center"/>
      <protection locked="0"/>
    </xf>
    <xf numFmtId="164" fontId="24" fillId="9" borderId="24" xfId="0" applyNumberFormat="1" applyFont="1" applyFill="1" applyBorder="1" applyAlignment="1" applyProtection="1">
      <alignment horizontal="center" vertical="center"/>
      <protection locked="0"/>
    </xf>
    <xf numFmtId="0" fontId="5" fillId="10" borderId="30" xfId="0" applyFont="1" applyFill="1" applyBorder="1" applyAlignment="1" applyProtection="1">
      <alignment horizontal="center" vertical="center"/>
      <protection locked="0"/>
    </xf>
    <xf numFmtId="0" fontId="24" fillId="9" borderId="24" xfId="0" applyFont="1" applyFill="1" applyBorder="1" applyAlignment="1" applyProtection="1">
      <alignment horizontal="center" vertical="center"/>
      <protection locked="0"/>
    </xf>
    <xf numFmtId="170" fontId="24" fillId="9" borderId="24" xfId="0" applyNumberFormat="1" applyFont="1" applyFill="1" applyBorder="1" applyAlignment="1" applyProtection="1">
      <alignment horizontal="center" vertical="center"/>
      <protection locked="0"/>
    </xf>
    <xf numFmtId="0" fontId="5" fillId="10" borderId="24" xfId="0" applyFont="1" applyFill="1" applyBorder="1" applyAlignment="1" applyProtection="1">
      <alignment horizontal="center" vertical="center"/>
      <protection locked="0"/>
    </xf>
    <xf numFmtId="14" fontId="0" fillId="9" borderId="1" xfId="0" applyNumberFormat="1" applyFont="1" applyFill="1" applyBorder="1" applyAlignment="1" applyProtection="1">
      <alignment horizontal="center" vertical="center"/>
      <protection locked="0"/>
    </xf>
    <xf numFmtId="164" fontId="0" fillId="9" borderId="1" xfId="0" applyNumberFormat="1" applyFont="1" applyFill="1" applyBorder="1" applyAlignment="1" applyProtection="1">
      <alignment horizontal="center" vertical="center"/>
      <protection locked="0"/>
    </xf>
    <xf numFmtId="14" fontId="24" fillId="9" borderId="1" xfId="0" applyNumberFormat="1"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protection locked="0"/>
    </xf>
    <xf numFmtId="164" fontId="24" fillId="9" borderId="1" xfId="0" applyNumberFormat="1" applyFont="1" applyFill="1" applyBorder="1" applyAlignment="1" applyProtection="1">
      <alignment horizontal="center" vertical="center"/>
      <protection locked="0"/>
    </xf>
    <xf numFmtId="0" fontId="0" fillId="9" borderId="67" xfId="0" applyFont="1" applyFill="1" applyBorder="1" applyAlignment="1" applyProtection="1">
      <alignment horizontal="center" vertical="center"/>
      <protection locked="0"/>
    </xf>
    <xf numFmtId="14" fontId="0" fillId="9" borderId="26" xfId="0" applyNumberFormat="1" applyFont="1" applyFill="1" applyBorder="1" applyAlignment="1" applyProtection="1">
      <alignment horizontal="center" vertical="center"/>
      <protection locked="0"/>
    </xf>
    <xf numFmtId="0" fontId="0" fillId="9" borderId="31" xfId="0" applyFont="1" applyFill="1" applyBorder="1" applyAlignment="1" applyProtection="1">
      <alignment horizontal="center" vertical="center"/>
      <protection locked="0"/>
    </xf>
    <xf numFmtId="14" fontId="0" fillId="9" borderId="24" xfId="0" applyNumberFormat="1" applyFont="1" applyFill="1" applyBorder="1" applyAlignment="1" applyProtection="1">
      <alignment horizontal="center" vertical="center"/>
      <protection locked="0"/>
    </xf>
    <xf numFmtId="0" fontId="0" fillId="9" borderId="28" xfId="0" applyFont="1" applyFill="1" applyBorder="1" applyAlignment="1" applyProtection="1">
      <alignment horizontal="center" vertical="center"/>
      <protection locked="0"/>
    </xf>
    <xf numFmtId="0" fontId="0" fillId="10" borderId="64" xfId="0" applyFont="1" applyFill="1" applyBorder="1" applyAlignment="1" applyProtection="1">
      <alignment horizontal="center" vertical="center"/>
      <protection locked="0"/>
    </xf>
    <xf numFmtId="14" fontId="5" fillId="9" borderId="24" xfId="0" applyNumberFormat="1" applyFont="1" applyFill="1" applyBorder="1" applyAlignment="1" applyProtection="1">
      <alignment horizontal="center" vertical="center"/>
      <protection locked="0"/>
    </xf>
    <xf numFmtId="0" fontId="5" fillId="10" borderId="26" xfId="0" applyFont="1" applyFill="1" applyBorder="1" applyAlignment="1" applyProtection="1">
      <alignment horizontal="center" vertical="center"/>
      <protection locked="0"/>
    </xf>
    <xf numFmtId="0" fontId="5" fillId="9" borderId="24" xfId="0" applyFont="1" applyFill="1" applyBorder="1" applyAlignment="1" applyProtection="1">
      <alignment horizontal="center" vertical="center"/>
      <protection locked="0"/>
    </xf>
    <xf numFmtId="0" fontId="5" fillId="9" borderId="28" xfId="0" applyFont="1" applyFill="1" applyBorder="1" applyAlignment="1" applyProtection="1">
      <alignment horizontal="center" vertical="center"/>
      <protection locked="0"/>
    </xf>
    <xf numFmtId="0" fontId="5" fillId="0" borderId="0" xfId="0" applyFont="1" applyAlignment="1" applyProtection="1">
      <alignment horizontal="center" vertical="center"/>
    </xf>
    <xf numFmtId="14" fontId="5" fillId="9" borderId="1" xfId="0" applyNumberFormat="1" applyFont="1" applyFill="1" applyBorder="1" applyAlignment="1" applyProtection="1">
      <alignment horizontal="center" vertical="center"/>
      <protection locked="0"/>
    </xf>
    <xf numFmtId="164" fontId="5" fillId="10" borderId="1" xfId="0" applyNumberFormat="1"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protection locked="0"/>
    </xf>
    <xf numFmtId="14" fontId="5" fillId="3" borderId="1" xfId="0" applyNumberFormat="1" applyFont="1" applyFill="1" applyBorder="1" applyAlignment="1" applyProtection="1">
      <alignment horizontal="center" vertical="center"/>
      <protection locked="0"/>
    </xf>
    <xf numFmtId="0" fontId="64" fillId="0" borderId="12" xfId="0" applyFont="1" applyBorder="1" applyAlignment="1">
      <alignment horizontal="center" vertical="center"/>
    </xf>
    <xf numFmtId="0" fontId="32" fillId="0" borderId="0" xfId="0" applyFont="1" applyAlignment="1">
      <alignment vertical="center"/>
    </xf>
    <xf numFmtId="1"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11"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xf numFmtId="0" fontId="5" fillId="0" borderId="0" xfId="0" applyFont="1" applyBorder="1" applyAlignment="1">
      <alignment horizontal="center" vertical="center" wrapText="1"/>
    </xf>
    <xf numFmtId="0" fontId="6" fillId="0" borderId="0" xfId="0" applyFont="1" applyFill="1" applyAlignment="1">
      <alignment horizontal="center" vertical="center"/>
    </xf>
    <xf numFmtId="0" fontId="5" fillId="0" borderId="0" xfId="0" applyFont="1" applyFill="1" applyAlignment="1">
      <alignment vertical="center"/>
    </xf>
    <xf numFmtId="0" fontId="0" fillId="0" borderId="0" xfId="0"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9" fillId="9" borderId="1" xfId="0" applyFont="1" applyFill="1" applyBorder="1" applyAlignment="1" applyProtection="1">
      <alignment horizontal="center" vertical="center"/>
      <protection locked="0"/>
    </xf>
    <xf numFmtId="0" fontId="0" fillId="14" borderId="0" xfId="0" applyFill="1" applyAlignment="1">
      <alignment vertical="center"/>
    </xf>
    <xf numFmtId="0" fontId="39" fillId="14" borderId="0" xfId="0" applyFont="1" applyFill="1" applyAlignment="1">
      <alignment vertical="center"/>
    </xf>
    <xf numFmtId="0" fontId="5" fillId="0" borderId="0" xfId="0" applyFont="1" applyAlignment="1">
      <alignment horizontal="center" vertical="center"/>
    </xf>
    <xf numFmtId="0" fontId="5" fillId="0" borderId="1" xfId="0" applyFont="1" applyFill="1" applyBorder="1" applyAlignment="1">
      <alignment horizontal="center" vertical="center"/>
    </xf>
    <xf numFmtId="1" fontId="39" fillId="14" borderId="1" xfId="0" applyNumberFormat="1" applyFont="1" applyFill="1" applyBorder="1" applyAlignment="1">
      <alignment horizontal="center" vertical="center"/>
    </xf>
    <xf numFmtId="2" fontId="24" fillId="0" borderId="24" xfId="0" applyNumberFormat="1" applyFont="1" applyBorder="1" applyAlignment="1">
      <alignment horizontal="center" vertical="center"/>
    </xf>
    <xf numFmtId="2" fontId="24" fillId="0" borderId="86"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xf>
    <xf numFmtId="0" fontId="0" fillId="10" borderId="31" xfId="0" applyFont="1" applyFill="1" applyBorder="1" applyAlignment="1" applyProtection="1">
      <alignment horizontal="center" vertical="center"/>
      <protection locked="0"/>
    </xf>
    <xf numFmtId="1" fontId="0" fillId="0" borderId="60" xfId="0" applyNumberFormat="1" applyFont="1" applyBorder="1" applyAlignment="1">
      <alignment horizontal="center" vertical="center"/>
    </xf>
    <xf numFmtId="0" fontId="0" fillId="9" borderId="1" xfId="0" applyFont="1" applyFill="1" applyBorder="1" applyAlignment="1" applyProtection="1">
      <alignment horizontal="center" vertical="center" wrapText="1"/>
      <protection locked="0"/>
    </xf>
    <xf numFmtId="3" fontId="11" fillId="0" borderId="71" xfId="0" applyNumberFormat="1" applyFont="1" applyFill="1" applyBorder="1" applyAlignment="1" applyProtection="1">
      <alignment horizontal="center" shrinkToFit="1"/>
    </xf>
    <xf numFmtId="2" fontId="11" fillId="0" borderId="69" xfId="0" applyNumberFormat="1" applyFont="1" applyFill="1" applyBorder="1" applyAlignment="1" applyProtection="1">
      <alignment horizontal="center" shrinkToFit="1"/>
    </xf>
    <xf numFmtId="0" fontId="0" fillId="0" borderId="33" xfId="0" applyBorder="1"/>
    <xf numFmtId="0" fontId="5" fillId="0" borderId="0" xfId="0" applyFont="1" applyAlignment="1">
      <alignment horizontal="center" vertical="center"/>
    </xf>
    <xf numFmtId="0" fontId="24" fillId="0" borderId="0" xfId="0" applyFont="1" applyFill="1" applyAlignment="1">
      <alignment horizontal="center" vertical="center"/>
    </xf>
    <xf numFmtId="0" fontId="0" fillId="0" borderId="0" xfId="0" applyAlignment="1"/>
    <xf numFmtId="0" fontId="0" fillId="0" borderId="0" xfId="0" applyBorder="1"/>
    <xf numFmtId="0" fontId="87" fillId="0" borderId="0" xfId="0" applyFont="1" applyAlignment="1">
      <alignment horizontal="center" vertical="center"/>
    </xf>
    <xf numFmtId="0" fontId="0" fillId="0" borderId="45" xfId="0" applyBorder="1" applyAlignment="1"/>
    <xf numFmtId="0" fontId="0" fillId="0" borderId="46" xfId="0" applyBorder="1" applyAlignment="1"/>
    <xf numFmtId="0" fontId="0" fillId="0" borderId="47" xfId="0" applyBorder="1" applyAlignment="1"/>
    <xf numFmtId="0" fontId="5" fillId="0" borderId="0" xfId="0" applyFont="1" applyAlignment="1">
      <alignment vertical="center"/>
    </xf>
    <xf numFmtId="0" fontId="44" fillId="0" borderId="72" xfId="0" applyFont="1" applyBorder="1" applyAlignment="1">
      <alignment horizontal="center" vertical="center"/>
    </xf>
    <xf numFmtId="1" fontId="44" fillId="0" borderId="96" xfId="0" applyNumberFormat="1" applyFont="1" applyBorder="1" applyAlignment="1">
      <alignment horizontal="center" vertical="center"/>
    </xf>
    <xf numFmtId="0" fontId="44" fillId="0" borderId="94" xfId="0" applyFont="1" applyBorder="1" applyAlignment="1">
      <alignment horizontal="center" vertical="center"/>
    </xf>
    <xf numFmtId="1" fontId="44" fillId="0" borderId="104" xfId="0" applyNumberFormat="1" applyFont="1" applyBorder="1" applyAlignment="1">
      <alignment horizontal="center" vertical="center"/>
    </xf>
    <xf numFmtId="0" fontId="56" fillId="0" borderId="12" xfId="0" applyFont="1" applyBorder="1" applyAlignment="1">
      <alignment horizontal="center" vertical="center"/>
    </xf>
    <xf numFmtId="0" fontId="56" fillId="0" borderId="18" xfId="0" applyFont="1" applyBorder="1" applyAlignment="1">
      <alignment horizontal="center" vertical="center"/>
    </xf>
    <xf numFmtId="0" fontId="44" fillId="0" borderId="52" xfId="0" applyFont="1" applyBorder="1" applyAlignment="1">
      <alignment horizontal="center" vertical="center"/>
    </xf>
    <xf numFmtId="1" fontId="44" fillId="0" borderId="12" xfId="0" applyNumberFormat="1" applyFont="1" applyBorder="1" applyAlignment="1">
      <alignment horizontal="center" vertical="center"/>
    </xf>
    <xf numFmtId="1" fontId="44" fillId="0" borderId="53" xfId="0" applyNumberFormat="1" applyFont="1" applyBorder="1" applyAlignment="1">
      <alignment horizontal="center" vertical="center"/>
    </xf>
    <xf numFmtId="1" fontId="44" fillId="0" borderId="99" xfId="0" applyNumberFormat="1" applyFont="1" applyBorder="1" applyAlignment="1">
      <alignment horizontal="center" vertical="center"/>
    </xf>
    <xf numFmtId="0" fontId="56" fillId="0" borderId="14" xfId="0" applyFont="1" applyBorder="1" applyAlignment="1">
      <alignment horizontal="center" vertical="center"/>
    </xf>
    <xf numFmtId="1" fontId="39" fillId="0" borderId="12" xfId="0" applyNumberFormat="1" applyFont="1" applyBorder="1" applyAlignment="1">
      <alignment horizontal="center" vertical="center"/>
    </xf>
    <xf numFmtId="0" fontId="44" fillId="0" borderId="81" xfId="0" applyFont="1" applyBorder="1" applyAlignment="1">
      <alignment horizontal="center" vertical="center"/>
    </xf>
    <xf numFmtId="1" fontId="44" fillId="0" borderId="82" xfId="0" applyNumberFormat="1" applyFont="1" applyBorder="1" applyAlignment="1">
      <alignment horizontal="center" vertical="center"/>
    </xf>
    <xf numFmtId="1" fontId="44" fillId="0" borderId="90" xfId="0" applyNumberFormat="1" applyFont="1" applyBorder="1" applyAlignment="1">
      <alignment horizontal="center" vertical="center"/>
    </xf>
    <xf numFmtId="1" fontId="44" fillId="0" borderId="80" xfId="0" applyNumberFormat="1" applyFont="1" applyBorder="1" applyAlignment="1">
      <alignment horizontal="center" vertical="center"/>
    </xf>
    <xf numFmtId="1" fontId="44" fillId="0" borderId="69" xfId="0" applyNumberFormat="1" applyFont="1" applyBorder="1" applyAlignment="1">
      <alignment horizontal="center" vertical="center"/>
    </xf>
    <xf numFmtId="1" fontId="44" fillId="0" borderId="84" xfId="0" applyNumberFormat="1" applyFont="1" applyBorder="1" applyAlignment="1">
      <alignment horizontal="center" vertical="center"/>
    </xf>
    <xf numFmtId="164" fontId="0" fillId="0" borderId="6" xfId="0" applyNumberFormat="1" applyFont="1" applyBorder="1" applyAlignment="1">
      <alignment horizontal="center" vertical="center"/>
    </xf>
    <xf numFmtId="164" fontId="0" fillId="0" borderId="15" xfId="0" applyNumberFormat="1" applyFont="1" applyBorder="1" applyAlignment="1">
      <alignment vertical="center"/>
    </xf>
    <xf numFmtId="0" fontId="0" fillId="0" borderId="0" xfId="0" applyBorder="1"/>
    <xf numFmtId="2" fontId="11" fillId="0" borderId="92" xfId="0" applyNumberFormat="1" applyFont="1" applyFill="1" applyBorder="1" applyAlignment="1" applyProtection="1">
      <alignment horizontal="center"/>
    </xf>
    <xf numFmtId="2" fontId="11" fillId="0" borderId="100" xfId="0" applyNumberFormat="1" applyFont="1" applyFill="1" applyBorder="1" applyAlignment="1" applyProtection="1">
      <alignment horizontal="center"/>
    </xf>
    <xf numFmtId="0" fontId="39" fillId="0" borderId="1" xfId="0" applyFont="1" applyBorder="1"/>
    <xf numFmtId="1" fontId="44" fillId="0" borderId="0" xfId="0" applyNumberFormat="1" applyFont="1" applyBorder="1" applyAlignment="1">
      <alignment horizontal="center" vertical="center"/>
    </xf>
    <xf numFmtId="0" fontId="39" fillId="0" borderId="0" xfId="0" applyFont="1" applyBorder="1" applyAlignment="1">
      <alignment horizontal="center" vertical="center" wrapText="1"/>
    </xf>
    <xf numFmtId="0" fontId="0" fillId="0" borderId="0" xfId="0"/>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97" fillId="0" borderId="94" xfId="0" applyFont="1" applyBorder="1" applyAlignment="1">
      <alignment horizontal="center" vertical="center"/>
    </xf>
    <xf numFmtId="0" fontId="85" fillId="0" borderId="0" xfId="0" applyFont="1" applyBorder="1" applyAlignment="1"/>
    <xf numFmtId="0" fontId="83" fillId="0" borderId="0" xfId="0" applyFont="1" applyBorder="1" applyAlignment="1">
      <alignment vertical="center" wrapText="1"/>
    </xf>
    <xf numFmtId="0" fontId="11" fillId="0" borderId="1" xfId="0" applyFont="1" applyBorder="1"/>
    <xf numFmtId="0" fontId="11" fillId="9" borderId="45" xfId="0" applyFont="1" applyFill="1" applyBorder="1" applyAlignment="1" applyProtection="1">
      <alignment horizontal="center"/>
      <protection locked="0"/>
    </xf>
    <xf numFmtId="0" fontId="11" fillId="9" borderId="96" xfId="0" applyFont="1" applyFill="1" applyBorder="1" applyAlignment="1" applyProtection="1">
      <alignment horizontal="center"/>
      <protection locked="0"/>
    </xf>
    <xf numFmtId="0" fontId="11" fillId="9" borderId="46" xfId="0" applyFont="1" applyFill="1" applyBorder="1" applyAlignment="1" applyProtection="1">
      <alignment horizontal="center"/>
      <protection locked="0"/>
    </xf>
    <xf numFmtId="0" fontId="11" fillId="9" borderId="47" xfId="0" applyFont="1" applyFill="1" applyBorder="1" applyAlignment="1" applyProtection="1">
      <alignment horizontal="center"/>
      <protection locked="0"/>
    </xf>
    <xf numFmtId="0" fontId="11" fillId="0" borderId="0" xfId="0" applyFont="1" applyAlignment="1">
      <alignment horizontal="left" vertic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0" fillId="0" borderId="0" xfId="0"/>
    <xf numFmtId="0" fontId="5" fillId="0" borderId="0" xfId="0" applyFont="1" applyAlignment="1">
      <alignment horizontal="center" vertical="center"/>
    </xf>
    <xf numFmtId="0" fontId="39" fillId="0" borderId="0" xfId="0" applyFont="1" applyBorder="1" applyAlignment="1">
      <alignment horizontal="center" vertical="center"/>
    </xf>
    <xf numFmtId="164" fontId="39" fillId="0" borderId="24" xfId="0" applyNumberFormat="1"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39" fillId="9" borderId="0" xfId="0" applyFont="1" applyFill="1" applyAlignment="1" applyProtection="1">
      <alignment horizontal="center" vertical="center"/>
      <protection locked="0"/>
    </xf>
    <xf numFmtId="0" fontId="11" fillId="0" borderId="48" xfId="0" applyFont="1" applyBorder="1" applyAlignment="1">
      <alignment horizontal="right" vertical="center"/>
    </xf>
    <xf numFmtId="14" fontId="56" fillId="0" borderId="49" xfId="0" applyNumberFormat="1" applyFont="1" applyBorder="1" applyAlignment="1">
      <alignment horizontal="center" vertical="center"/>
    </xf>
    <xf numFmtId="0" fontId="39" fillId="0" borderId="45" xfId="0" applyFont="1" applyBorder="1" applyAlignment="1">
      <alignment horizontal="center" vertical="center" wrapText="1"/>
    </xf>
    <xf numFmtId="0" fontId="39" fillId="0" borderId="0" xfId="0" applyFont="1" applyAlignment="1">
      <alignment horizontal="center" vertical="center"/>
    </xf>
    <xf numFmtId="0" fontId="11" fillId="0" borderId="50" xfId="0" applyFont="1" applyBorder="1" applyAlignment="1">
      <alignment horizontal="right" vertical="center"/>
    </xf>
    <xf numFmtId="14" fontId="56" fillId="0" borderId="51" xfId="0" applyNumberFormat="1" applyFont="1" applyBorder="1" applyAlignment="1">
      <alignment horizontal="center" vertical="center"/>
    </xf>
    <xf numFmtId="0" fontId="12" fillId="0" borderId="47" xfId="0" applyFont="1" applyBorder="1" applyAlignment="1">
      <alignment horizontal="center" vertical="center" wrapText="1"/>
    </xf>
    <xf numFmtId="0" fontId="56" fillId="0" borderId="0" xfId="0" applyFont="1" applyAlignment="1">
      <alignment horizontal="center" vertical="center"/>
    </xf>
    <xf numFmtId="0" fontId="56" fillId="0" borderId="0" xfId="0" applyFont="1" applyBorder="1" applyAlignment="1">
      <alignment horizontal="center" vertical="center"/>
    </xf>
    <xf numFmtId="0" fontId="80" fillId="0" borderId="0" xfId="0" applyFont="1" applyBorder="1" applyAlignment="1">
      <alignment horizontal="center" vertical="center" wrapText="1"/>
    </xf>
    <xf numFmtId="0" fontId="11" fillId="0" borderId="92" xfId="0" applyFont="1" applyBorder="1" applyAlignment="1">
      <alignment horizontal="center" vertical="center"/>
    </xf>
    <xf numFmtId="0" fontId="56" fillId="0" borderId="92" xfId="0" applyFont="1" applyBorder="1" applyAlignment="1">
      <alignment horizontal="center" vertical="center"/>
    </xf>
    <xf numFmtId="1" fontId="11" fillId="0" borderId="90" xfId="0" applyNumberFormat="1" applyFont="1" applyBorder="1" applyAlignment="1">
      <alignment horizontal="center" vertical="center"/>
    </xf>
    <xf numFmtId="1" fontId="44" fillId="0" borderId="89" xfId="0" applyNumberFormat="1" applyFont="1" applyBorder="1" applyAlignment="1">
      <alignment horizontal="center" vertical="center"/>
    </xf>
    <xf numFmtId="1" fontId="11" fillId="0" borderId="69" xfId="0" applyNumberFormat="1" applyFont="1" applyBorder="1" applyAlignment="1">
      <alignment horizontal="center" vertical="center"/>
    </xf>
    <xf numFmtId="1" fontId="11" fillId="0" borderId="84" xfId="0" applyNumberFormat="1" applyFont="1" applyBorder="1" applyAlignment="1">
      <alignment horizontal="center" vertical="center"/>
    </xf>
    <xf numFmtId="0" fontId="11" fillId="0" borderId="69" xfId="0" applyFont="1" applyBorder="1" applyAlignment="1">
      <alignment horizontal="center" vertical="center"/>
    </xf>
    <xf numFmtId="1" fontId="44" fillId="0" borderId="68" xfId="0" applyNumberFormat="1" applyFont="1" applyBorder="1" applyAlignment="1">
      <alignment horizontal="center" vertical="center"/>
    </xf>
    <xf numFmtId="1" fontId="44" fillId="4" borderId="104" xfId="0" applyNumberFormat="1" applyFont="1" applyFill="1" applyBorder="1" applyAlignment="1">
      <alignment vertical="center"/>
    </xf>
    <xf numFmtId="1" fontId="44" fillId="4" borderId="46" xfId="0" applyNumberFormat="1" applyFont="1" applyFill="1" applyBorder="1" applyAlignment="1">
      <alignment vertical="center"/>
    </xf>
    <xf numFmtId="1" fontId="12" fillId="0" borderId="92" xfId="0" applyNumberFormat="1" applyFont="1" applyBorder="1" applyAlignment="1">
      <alignment horizontal="center" vertical="center"/>
    </xf>
    <xf numFmtId="1" fontId="44" fillId="0" borderId="0" xfId="0" applyNumberFormat="1" applyFont="1" applyFill="1" applyBorder="1" applyAlignment="1">
      <alignment vertical="center"/>
    </xf>
    <xf numFmtId="1" fontId="11" fillId="0" borderId="92" xfId="0" applyNumberFormat="1" applyFont="1" applyBorder="1" applyAlignment="1">
      <alignment horizontal="center" vertical="center"/>
    </xf>
    <xf numFmtId="1" fontId="39" fillId="0" borderId="0" xfId="0" applyNumberFormat="1" applyFont="1" applyBorder="1" applyAlignment="1">
      <alignment horizontal="center" vertical="center"/>
    </xf>
    <xf numFmtId="1" fontId="44" fillId="0" borderId="83" xfId="0" applyNumberFormat="1" applyFont="1" applyBorder="1" applyAlignment="1">
      <alignment horizontal="center" vertical="center"/>
    </xf>
    <xf numFmtId="1" fontId="97" fillId="0" borderId="0" xfId="0" applyNumberFormat="1" applyFont="1" applyBorder="1" applyAlignment="1">
      <alignment horizontal="center" vertical="center"/>
    </xf>
    <xf numFmtId="1" fontId="97" fillId="0" borderId="92" xfId="0" applyNumberFormat="1" applyFont="1" applyBorder="1" applyAlignment="1">
      <alignment horizontal="center" vertical="center"/>
    </xf>
    <xf numFmtId="0" fontId="11" fillId="0" borderId="0" xfId="0" applyFont="1" applyBorder="1" applyAlignment="1">
      <alignment vertical="center"/>
    </xf>
    <xf numFmtId="1" fontId="44" fillId="0" borderId="17" xfId="0" applyNumberFormat="1" applyFont="1" applyBorder="1" applyAlignment="1">
      <alignment horizontal="center" vertical="center"/>
    </xf>
    <xf numFmtId="1" fontId="44" fillId="0" borderId="11" xfId="0" applyNumberFormat="1" applyFont="1" applyBorder="1" applyAlignment="1">
      <alignment horizontal="center" vertical="center"/>
    </xf>
    <xf numFmtId="0" fontId="12" fillId="0" borderId="0" xfId="0" applyFont="1" applyAlignment="1">
      <alignment horizontal="left" vertical="center"/>
    </xf>
    <xf numFmtId="0" fontId="11" fillId="9" borderId="0" xfId="0" applyFont="1" applyFill="1" applyAlignment="1" applyProtection="1">
      <alignment horizontal="center" vertical="center"/>
      <protection locked="0"/>
    </xf>
    <xf numFmtId="0" fontId="104" fillId="0" borderId="0" xfId="0" applyFont="1" applyAlignment="1">
      <alignment horizontal="center" vertical="center"/>
    </xf>
    <xf numFmtId="0" fontId="105" fillId="0" borderId="0" xfId="7" applyFont="1" applyAlignment="1" applyProtection="1">
      <alignment horizontal="left" vertical="center"/>
    </xf>
    <xf numFmtId="0" fontId="101" fillId="0" borderId="0" xfId="0" applyFont="1" applyAlignment="1">
      <alignment horizontal="center" vertical="center" wrapText="1"/>
    </xf>
    <xf numFmtId="0" fontId="103" fillId="0" borderId="0" xfId="0" applyFont="1" applyAlignment="1">
      <alignment horizontal="center" vertical="center" wrapText="1"/>
    </xf>
    <xf numFmtId="0" fontId="90" fillId="0" borderId="0" xfId="0" applyFont="1" applyAlignment="1">
      <alignment horizontal="left" vertical="center"/>
    </xf>
    <xf numFmtId="164" fontId="39" fillId="0" borderId="1" xfId="0" applyNumberFormat="1" applyFont="1" applyBorder="1" applyAlignment="1">
      <alignment horizontal="center"/>
    </xf>
    <xf numFmtId="0" fontId="0" fillId="0" borderId="0" xfId="0"/>
    <xf numFmtId="0" fontId="11" fillId="0" borderId="0" xfId="0" applyFont="1" applyAlignment="1">
      <alignment horizontal="center" vertical="center"/>
    </xf>
    <xf numFmtId="0" fontId="12" fillId="0" borderId="1" xfId="0" applyFont="1" applyBorder="1" applyAlignment="1">
      <alignment horizontal="center" vertical="center" wrapText="1"/>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2" fillId="0" borderId="3" xfId="0" applyFont="1" applyBorder="1" applyAlignment="1">
      <alignment horizontal="center" vertical="center" wrapText="1"/>
    </xf>
    <xf numFmtId="0" fontId="0" fillId="0" borderId="0" xfId="0"/>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xf>
    <xf numFmtId="164" fontId="11" fillId="0" borderId="1" xfId="0" applyNumberFormat="1" applyFont="1" applyFill="1" applyBorder="1" applyAlignment="1">
      <alignment horizontal="center" vertical="center"/>
    </xf>
    <xf numFmtId="166" fontId="11" fillId="0" borderId="1" xfId="0" applyNumberFormat="1" applyFont="1" applyFill="1" applyBorder="1" applyAlignment="1">
      <alignment horizontal="center" vertical="center"/>
    </xf>
    <xf numFmtId="2" fontId="11" fillId="0" borderId="1" xfId="0" applyNumberFormat="1" applyFont="1" applyBorder="1" applyAlignment="1">
      <alignment horizontal="center" vertical="center"/>
    </xf>
    <xf numFmtId="2" fontId="11" fillId="0" borderId="2" xfId="0" applyNumberFormat="1" applyFont="1" applyBorder="1" applyAlignment="1">
      <alignment horizontal="center" vertical="center"/>
    </xf>
    <xf numFmtId="0" fontId="107" fillId="0" borderId="0" xfId="0" applyFont="1" applyBorder="1" applyAlignment="1">
      <alignment horizontal="center" vertical="center"/>
    </xf>
    <xf numFmtId="164" fontId="11" fillId="0" borderId="3" xfId="0" applyNumberFormat="1" applyFont="1" applyBorder="1" applyAlignment="1">
      <alignment horizontal="center" vertical="center"/>
    </xf>
    <xf numFmtId="0" fontId="39" fillId="0" borderId="0" xfId="0" applyFont="1" applyBorder="1"/>
    <xf numFmtId="0" fontId="108" fillId="0" borderId="0" xfId="0" applyFont="1"/>
    <xf numFmtId="0" fontId="39" fillId="0" borderId="0" xfId="0" applyFont="1" applyFill="1"/>
    <xf numFmtId="0" fontId="109" fillId="0" borderId="0" xfId="0" applyFont="1" applyAlignment="1">
      <alignment horizontal="center" vertical="center"/>
    </xf>
    <xf numFmtId="0" fontId="39" fillId="0" borderId="0" xfId="0" applyFont="1" applyAlignment="1">
      <alignment horizontal="center"/>
    </xf>
    <xf numFmtId="0" fontId="39" fillId="0" borderId="0" xfId="0" applyFont="1" applyFill="1" applyAlignment="1">
      <alignment horizontal="center"/>
    </xf>
    <xf numFmtId="0" fontId="12" fillId="0" borderId="6"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0" borderId="5" xfId="0" applyFont="1" applyBorder="1" applyAlignment="1">
      <alignment horizontal="left" vertical="center" wrapText="1"/>
    </xf>
    <xf numFmtId="0" fontId="39"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wrapText="1"/>
    </xf>
    <xf numFmtId="164" fontId="11" fillId="0" borderId="1" xfId="0" applyNumberFormat="1" applyFont="1" applyBorder="1" applyAlignment="1">
      <alignment horizontal="center"/>
    </xf>
    <xf numFmtId="166" fontId="11" fillId="0" borderId="1" xfId="0" applyNumberFormat="1" applyFont="1" applyBorder="1" applyAlignment="1">
      <alignment horizontal="center" vertical="center"/>
    </xf>
    <xf numFmtId="2"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Border="1" applyAlignment="1">
      <alignment vertical="center"/>
    </xf>
    <xf numFmtId="0" fontId="39" fillId="0" borderId="1" xfId="0" applyFont="1" applyBorder="1" applyAlignment="1">
      <alignment horizontal="center"/>
    </xf>
    <xf numFmtId="168" fontId="11" fillId="0" borderId="1" xfId="0" applyNumberFormat="1" applyFont="1" applyFill="1" applyBorder="1" applyAlignment="1">
      <alignment horizontal="center" vertical="center"/>
    </xf>
    <xf numFmtId="1" fontId="11" fillId="0" borderId="1" xfId="0" applyNumberFormat="1" applyFont="1" applyFill="1" applyBorder="1" applyAlignment="1">
      <alignment horizontal="center" vertical="center"/>
    </xf>
    <xf numFmtId="165" fontId="11" fillId="0" borderId="1" xfId="1" applyNumberFormat="1" applyFont="1" applyBorder="1" applyAlignment="1">
      <alignment horizontal="center" vertical="center"/>
    </xf>
    <xf numFmtId="0" fontId="11" fillId="0" borderId="4" xfId="0" applyFont="1" applyBorder="1" applyAlignment="1">
      <alignment horizontal="center" vertical="center"/>
    </xf>
    <xf numFmtId="167" fontId="11" fillId="0" borderId="1" xfId="0" applyNumberFormat="1" applyFont="1" applyBorder="1" applyAlignment="1">
      <alignment horizontal="center" vertical="center"/>
    </xf>
    <xf numFmtId="169" fontId="11" fillId="0" borderId="1" xfId="0" applyNumberFormat="1" applyFont="1" applyBorder="1" applyAlignment="1">
      <alignment horizontal="center" vertical="center"/>
    </xf>
    <xf numFmtId="0" fontId="11" fillId="0" borderId="9" xfId="0" applyFont="1" applyFill="1" applyBorder="1" applyAlignment="1">
      <alignment horizontal="center" vertical="center"/>
    </xf>
    <xf numFmtId="169" fontId="11" fillId="0" borderId="1" xfId="0" applyNumberFormat="1" applyFont="1" applyFill="1" applyBorder="1" applyAlignment="1">
      <alignment horizontal="center" vertical="center"/>
    </xf>
    <xf numFmtId="1" fontId="11" fillId="0" borderId="1" xfId="0" applyNumberFormat="1" applyFont="1" applyBorder="1" applyAlignment="1">
      <alignment horizontal="center" vertical="center"/>
    </xf>
    <xf numFmtId="0" fontId="109" fillId="0" borderId="0" xfId="0" applyFont="1" applyBorder="1" applyAlignment="1">
      <alignment vertical="center" wrapText="1"/>
    </xf>
    <xf numFmtId="0" fontId="109" fillId="0" borderId="0" xfId="0" applyFont="1" applyBorder="1" applyAlignment="1">
      <alignment horizontal="center" vertical="center"/>
    </xf>
    <xf numFmtId="0" fontId="109" fillId="0" borderId="0" xfId="0" applyFont="1" applyFill="1" applyBorder="1" applyAlignment="1">
      <alignment horizontal="center" vertical="center"/>
    </xf>
    <xf numFmtId="0" fontId="111" fillId="0" borderId="0" xfId="0" applyFont="1"/>
    <xf numFmtId="0" fontId="11" fillId="0" borderId="1" xfId="0" applyFont="1" applyBorder="1" applyAlignment="1">
      <alignment horizontal="left"/>
    </xf>
    <xf numFmtId="0" fontId="11" fillId="0" borderId="1" xfId="0" applyFont="1" applyBorder="1" applyAlignment="1">
      <alignment horizontal="left" vertical="center"/>
    </xf>
    <xf numFmtId="0" fontId="112" fillId="0" borderId="0" xfId="0" applyFont="1"/>
    <xf numFmtId="0" fontId="0" fillId="0" borderId="9" xfId="0" applyFill="1" applyBorder="1"/>
    <xf numFmtId="0" fontId="0" fillId="0" borderId="16" xfId="0" applyFill="1" applyBorder="1"/>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0" fillId="0" borderId="0" xfId="0" applyBorder="1" applyAlignment="1">
      <alignment horizontal="center" vertical="center" wrapText="1"/>
    </xf>
    <xf numFmtId="0" fontId="0" fillId="0" borderId="0" xfId="0"/>
    <xf numFmtId="0" fontId="4" fillId="0" borderId="1" xfId="0" applyFont="1" applyBorder="1" applyAlignment="1">
      <alignment horizontal="center" vertical="center" wrapText="1"/>
    </xf>
    <xf numFmtId="0" fontId="0" fillId="0" borderId="0" xfId="0"/>
    <xf numFmtId="0" fontId="0" fillId="0" borderId="0" xfId="0" applyAlignment="1"/>
    <xf numFmtId="0" fontId="87" fillId="0" borderId="0" xfId="0" applyFont="1" applyAlignment="1" applyProtection="1">
      <alignment vertical="center"/>
    </xf>
    <xf numFmtId="0" fontId="87" fillId="0" borderId="0" xfId="0" applyFont="1" applyAlignment="1">
      <alignment vertical="center"/>
    </xf>
    <xf numFmtId="0" fontId="86" fillId="0" borderId="0" xfId="0" applyFont="1" applyAlignment="1">
      <alignment vertical="center"/>
    </xf>
    <xf numFmtId="0" fontId="89" fillId="0" borderId="0" xfId="0" applyFont="1" applyBorder="1" applyAlignment="1">
      <alignment vertical="center"/>
    </xf>
    <xf numFmtId="0" fontId="5" fillId="0" borderId="0" xfId="0" applyFont="1" applyFill="1" applyBorder="1" applyAlignment="1" applyProtection="1">
      <alignment horizontal="center" vertical="center"/>
      <protection locked="0"/>
    </xf>
    <xf numFmtId="164" fontId="37" fillId="0" borderId="0" xfId="0" applyNumberFormat="1" applyFont="1" applyFill="1" applyBorder="1" applyAlignment="1">
      <alignment horizontal="center" vertical="center"/>
    </xf>
    <xf numFmtId="1" fontId="97" fillId="0" borderId="109" xfId="0" applyNumberFormat="1" applyFont="1" applyBorder="1" applyAlignment="1">
      <alignment horizontal="center" vertical="center"/>
    </xf>
    <xf numFmtId="0" fontId="97" fillId="0" borderId="12" xfId="0" applyFont="1" applyBorder="1" applyAlignment="1">
      <alignment horizontal="center" vertical="center"/>
    </xf>
    <xf numFmtId="1" fontId="97" fillId="0" borderId="77" xfId="0" applyNumberFormat="1" applyFont="1" applyBorder="1" applyAlignment="1">
      <alignment horizontal="center" vertical="center"/>
    </xf>
    <xf numFmtId="0" fontId="4" fillId="0" borderId="24" xfId="0" applyFont="1" applyBorder="1" applyAlignment="1">
      <alignment horizontal="center" vertical="center"/>
    </xf>
    <xf numFmtId="0" fontId="0" fillId="0" borderId="0" xfId="0" applyFont="1" applyBorder="1" applyAlignment="1">
      <alignment horizontal="center" vertical="center"/>
    </xf>
    <xf numFmtId="0" fontId="0" fillId="0" borderId="0" xfId="0"/>
    <xf numFmtId="1" fontId="44" fillId="0" borderId="52" xfId="0" applyNumberFormat="1" applyFont="1" applyBorder="1" applyAlignment="1">
      <alignment horizontal="center" vertical="center"/>
    </xf>
    <xf numFmtId="0" fontId="0" fillId="0" borderId="0" xfId="0"/>
    <xf numFmtId="0" fontId="0" fillId="0" borderId="0" xfId="0" applyAlignment="1"/>
    <xf numFmtId="0" fontId="11"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ill="1" applyBorder="1"/>
    <xf numFmtId="0" fontId="0" fillId="0" borderId="0" xfId="0" applyFill="1" applyAlignment="1">
      <alignment horizontal="center"/>
    </xf>
    <xf numFmtId="0" fontId="11" fillId="0" borderId="0" xfId="0" applyFont="1" applyFill="1" applyBorder="1" applyAlignment="1">
      <alignment vertical="center" wrapText="1"/>
    </xf>
    <xf numFmtId="0" fontId="11"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39" fillId="0" borderId="1" xfId="0" applyFont="1" applyFill="1" applyBorder="1"/>
    <xf numFmtId="0" fontId="107" fillId="0" borderId="0" xfId="0" applyFont="1" applyFill="1" applyBorder="1" applyAlignment="1">
      <alignment horizontal="center" vertical="center"/>
    </xf>
    <xf numFmtId="0" fontId="39" fillId="0" borderId="0" xfId="0" applyFont="1" applyFill="1" applyBorder="1"/>
    <xf numFmtId="0" fontId="3" fillId="0" borderId="0" xfId="0" applyFont="1" applyFill="1" applyBorder="1" applyAlignment="1">
      <alignment horizontal="center" vertical="center"/>
    </xf>
    <xf numFmtId="0" fontId="4" fillId="0" borderId="1" xfId="0" applyFont="1" applyFill="1" applyBorder="1"/>
    <xf numFmtId="0" fontId="0" fillId="0" borderId="5" xfId="0" applyFont="1" applyFill="1" applyBorder="1" applyAlignment="1">
      <alignment horizontal="lef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1" fillId="0" borderId="0" xfId="0" applyFont="1" applyAlignment="1">
      <alignment horizontal="center" vertical="center"/>
    </xf>
    <xf numFmtId="1" fontId="5" fillId="0" borderId="0" xfId="0" applyNumberFormat="1" applyFont="1" applyAlignment="1">
      <alignment horizontal="center" vertical="center"/>
    </xf>
    <xf numFmtId="0" fontId="0" fillId="0" borderId="0" xfId="0"/>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9" fillId="0" borderId="0" xfId="0" applyFont="1" applyAlignment="1">
      <alignment horizontal="center" vertical="center" wrapText="1"/>
    </xf>
    <xf numFmtId="3" fontId="12" fillId="0" borderId="48" xfId="0" applyNumberFormat="1" applyFont="1" applyFill="1" applyBorder="1" applyAlignment="1" applyProtection="1">
      <alignment horizontal="center" vertical="top" wrapText="1"/>
    </xf>
    <xf numFmtId="3" fontId="12" fillId="0" borderId="45" xfId="0" applyNumberFormat="1" applyFont="1" applyFill="1" applyBorder="1" applyAlignment="1" applyProtection="1">
      <alignment horizontal="center" vertical="center" wrapText="1"/>
    </xf>
    <xf numFmtId="3" fontId="11" fillId="0" borderId="81" xfId="0" applyNumberFormat="1" applyFont="1" applyFill="1" applyBorder="1" applyAlignment="1" applyProtection="1">
      <alignment horizontal="center" wrapText="1"/>
    </xf>
    <xf numFmtId="0" fontId="0" fillId="0" borderId="46" xfId="0" applyFill="1" applyBorder="1" applyAlignment="1">
      <alignment horizontal="center" vertical="center" wrapText="1"/>
    </xf>
    <xf numFmtId="3" fontId="11" fillId="0" borderId="50" xfId="0" applyNumberFormat="1" applyFont="1" applyFill="1" applyBorder="1" applyAlignment="1" applyProtection="1">
      <alignment horizontal="center"/>
    </xf>
    <xf numFmtId="3" fontId="11" fillId="0" borderId="79" xfId="0" applyNumberFormat="1" applyFont="1" applyFill="1" applyBorder="1" applyAlignment="1" applyProtection="1">
      <alignment horizontal="center"/>
    </xf>
    <xf numFmtId="2" fontId="11" fillId="0" borderId="19" xfId="0" applyNumberFormat="1" applyFont="1" applyFill="1" applyBorder="1" applyAlignment="1" applyProtection="1">
      <alignment horizontal="center"/>
    </xf>
    <xf numFmtId="0" fontId="11" fillId="0" borderId="75" xfId="2" applyFont="1" applyFill="1" applyBorder="1" applyAlignment="1" applyProtection="1">
      <alignment shrinkToFit="1"/>
    </xf>
    <xf numFmtId="3" fontId="11" fillId="0" borderId="75" xfId="2" applyNumberFormat="1" applyFont="1" applyFill="1" applyBorder="1" applyAlignment="1" applyProtection="1">
      <alignment horizontal="center" shrinkToFit="1"/>
    </xf>
    <xf numFmtId="2" fontId="11" fillId="0" borderId="75" xfId="2" applyNumberFormat="1" applyFont="1" applyFill="1" applyBorder="1" applyAlignment="1" applyProtection="1">
      <alignment horizontal="center" shrinkToFit="1"/>
    </xf>
    <xf numFmtId="166" fontId="11" fillId="0" borderId="93" xfId="2" applyNumberFormat="1" applyFont="1" applyFill="1" applyBorder="1" applyAlignment="1" applyProtection="1">
      <alignment horizontal="center" shrinkToFit="1"/>
    </xf>
    <xf numFmtId="2" fontId="11" fillId="0" borderId="67" xfId="2" applyNumberFormat="1" applyFont="1" applyFill="1" applyBorder="1" applyAlignment="1" applyProtection="1">
      <alignment horizontal="center" shrinkToFit="1"/>
    </xf>
    <xf numFmtId="0" fontId="11" fillId="0" borderId="75" xfId="0" applyFont="1" applyFill="1" applyBorder="1" applyAlignment="1" applyProtection="1">
      <alignment shrinkToFit="1"/>
    </xf>
    <xf numFmtId="3" fontId="11" fillId="0" borderId="89" xfId="0" applyNumberFormat="1" applyFont="1" applyFill="1" applyBorder="1" applyAlignment="1" applyProtection="1">
      <alignment horizontal="center" shrinkToFit="1"/>
    </xf>
    <xf numFmtId="2" fontId="11" fillId="0" borderId="75" xfId="0" applyNumberFormat="1" applyFont="1" applyFill="1" applyBorder="1" applyAlignment="1" applyProtection="1">
      <alignment horizontal="center" shrinkToFit="1"/>
    </xf>
    <xf numFmtId="2" fontId="11" fillId="0" borderId="93" xfId="0" applyNumberFormat="1" applyFont="1" applyFill="1" applyBorder="1" applyAlignment="1" applyProtection="1">
      <alignment horizontal="center" shrinkToFit="1"/>
    </xf>
    <xf numFmtId="2" fontId="11" fillId="0" borderId="67" xfId="0" applyNumberFormat="1" applyFont="1" applyFill="1" applyBorder="1" applyAlignment="1" applyProtection="1">
      <alignment horizontal="center" shrinkToFit="1"/>
    </xf>
    <xf numFmtId="3" fontId="11" fillId="0" borderId="72" xfId="2" applyNumberFormat="1" applyFont="1" applyFill="1" applyBorder="1" applyAlignment="1" applyProtection="1">
      <alignment horizontal="center" shrinkToFit="1"/>
    </xf>
    <xf numFmtId="166" fontId="11" fillId="0" borderId="1" xfId="2" applyNumberFormat="1" applyFont="1" applyFill="1" applyBorder="1" applyAlignment="1" applyProtection="1">
      <alignment horizontal="center" shrinkToFit="1"/>
    </xf>
    <xf numFmtId="0" fontId="11" fillId="0" borderId="72" xfId="0" applyFont="1" applyFill="1" applyBorder="1" applyAlignment="1" applyProtection="1">
      <alignment shrinkToFit="1"/>
    </xf>
    <xf numFmtId="2" fontId="11" fillId="0" borderId="72" xfId="0" applyNumberFormat="1" applyFont="1" applyFill="1" applyBorder="1" applyAlignment="1" applyProtection="1">
      <alignment horizontal="center" shrinkToFit="1"/>
    </xf>
    <xf numFmtId="166" fontId="99" fillId="0" borderId="1" xfId="8" applyNumberFormat="1" applyFont="1" applyFill="1" applyBorder="1" applyAlignment="1" applyProtection="1">
      <alignment horizontal="center" shrinkToFit="1"/>
    </xf>
    <xf numFmtId="2" fontId="99" fillId="0" borderId="69" xfId="8" applyNumberFormat="1" applyFont="1" applyFill="1" applyBorder="1" applyAlignment="1" applyProtection="1">
      <alignment horizontal="center" shrinkToFit="1"/>
    </xf>
    <xf numFmtId="0" fontId="11" fillId="0" borderId="68" xfId="0" applyFont="1" applyFill="1" applyBorder="1" applyAlignment="1" applyProtection="1">
      <alignment horizontal="center" shrinkToFit="1"/>
    </xf>
    <xf numFmtId="2" fontId="11" fillId="0" borderId="74" xfId="2" applyNumberFormat="1" applyFont="1" applyFill="1" applyBorder="1" applyAlignment="1" applyProtection="1">
      <alignment horizontal="center" shrinkToFit="1"/>
    </xf>
    <xf numFmtId="166" fontId="11" fillId="0" borderId="98" xfId="2" applyNumberFormat="1" applyFont="1" applyFill="1" applyBorder="1" applyAlignment="1" applyProtection="1">
      <alignment horizontal="center" shrinkToFit="1"/>
    </xf>
    <xf numFmtId="2" fontId="11" fillId="0" borderId="71" xfId="2" applyNumberFormat="1" applyFont="1" applyFill="1" applyBorder="1" applyAlignment="1" applyProtection="1">
      <alignment horizontal="center" shrinkToFit="1"/>
    </xf>
    <xf numFmtId="3" fontId="11" fillId="0" borderId="70" xfId="0" applyNumberFormat="1" applyFont="1" applyFill="1" applyBorder="1" applyAlignment="1" applyProtection="1">
      <alignment horizontal="center" shrinkToFit="1"/>
    </xf>
    <xf numFmtId="2" fontId="11" fillId="0" borderId="74" xfId="0" applyNumberFormat="1" applyFont="1" applyFill="1" applyBorder="1" applyAlignment="1" applyProtection="1">
      <alignment horizontal="center" shrinkToFit="1"/>
    </xf>
    <xf numFmtId="2" fontId="11" fillId="0" borderId="98" xfId="0" applyNumberFormat="1" applyFont="1" applyFill="1" applyBorder="1" applyAlignment="1" applyProtection="1">
      <alignment horizontal="center" shrinkToFit="1"/>
    </xf>
    <xf numFmtId="2" fontId="11" fillId="0" borderId="71" xfId="0" applyNumberFormat="1" applyFont="1" applyFill="1" applyBorder="1" applyAlignment="1" applyProtection="1">
      <alignment horizontal="center" shrinkToFit="1"/>
    </xf>
    <xf numFmtId="0" fontId="9" fillId="0" borderId="1" xfId="0" applyFont="1" applyFill="1" applyBorder="1"/>
    <xf numFmtId="2" fontId="5" fillId="0" borderId="3" xfId="0"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0" fontId="11" fillId="0" borderId="2" xfId="2" applyFont="1" applyFill="1" applyBorder="1" applyAlignment="1" applyProtection="1">
      <alignment horizontal="left" vertical="center"/>
    </xf>
    <xf numFmtId="1" fontId="44" fillId="0" borderId="69" xfId="0" applyNumberFormat="1" applyFont="1" applyFill="1" applyBorder="1" applyAlignment="1">
      <alignment horizontal="center" vertical="center"/>
    </xf>
    <xf numFmtId="0" fontId="5" fillId="0" borderId="1" xfId="0" applyFont="1" applyBorder="1" applyAlignment="1">
      <alignment horizontal="center" vertical="center"/>
    </xf>
    <xf numFmtId="0" fontId="0" fillId="0" borderId="0" xfId="0" applyAlignment="1"/>
    <xf numFmtId="0" fontId="6" fillId="11" borderId="48" xfId="0" applyFont="1" applyFill="1" applyBorder="1" applyAlignment="1">
      <alignment horizontal="center" vertical="center"/>
    </xf>
    <xf numFmtId="0" fontId="6" fillId="11" borderId="49" xfId="0" applyFont="1" applyFill="1" applyBorder="1" applyAlignment="1">
      <alignment horizontal="center" vertical="center"/>
    </xf>
    <xf numFmtId="0" fontId="0" fillId="11" borderId="52" xfId="0" applyFill="1" applyBorder="1" applyAlignment="1">
      <alignment horizontal="center" vertical="center"/>
    </xf>
    <xf numFmtId="0" fontId="0" fillId="11" borderId="53" xfId="0" applyFill="1" applyBorder="1" applyAlignment="1">
      <alignment horizontal="center" vertical="center"/>
    </xf>
    <xf numFmtId="0" fontId="6" fillId="0" borderId="0" xfId="0" applyFont="1" applyAlignment="1">
      <alignment horizontal="left" vertical="center" wrapText="1"/>
    </xf>
    <xf numFmtId="0" fontId="4" fillId="0" borderId="0" xfId="0" applyFont="1" applyAlignment="1"/>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5" fillId="12" borderId="0" xfId="0" applyFont="1" applyFill="1" applyAlignment="1">
      <alignment horizontal="center" vertical="center" wrapText="1"/>
    </xf>
    <xf numFmtId="0" fontId="0" fillId="12" borderId="0" xfId="0" applyFill="1" applyAlignment="1">
      <alignment horizontal="center" vertical="center" wrapText="1"/>
    </xf>
    <xf numFmtId="0" fontId="0" fillId="12" borderId="0" xfId="0" applyFill="1" applyAlignment="1">
      <alignment vertical="center" wrapText="1"/>
    </xf>
    <xf numFmtId="0" fontId="11"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xf numFmtId="0" fontId="39" fillId="0" borderId="0" xfId="0" applyFont="1" applyAlignment="1"/>
    <xf numFmtId="0" fontId="6" fillId="0" borderId="45" xfId="0" applyFont="1" applyBorder="1" applyAlignment="1">
      <alignment horizontal="center" vertical="center"/>
    </xf>
    <xf numFmtId="0" fontId="6" fillId="0" borderId="82" xfId="0" applyFont="1" applyBorder="1" applyAlignment="1">
      <alignment horizontal="center" vertical="center"/>
    </xf>
    <xf numFmtId="0" fontId="6" fillId="0" borderId="49" xfId="0" applyFont="1" applyBorder="1" applyAlignment="1">
      <alignment horizontal="center" vertical="center"/>
    </xf>
    <xf numFmtId="0" fontId="6" fillId="0" borderId="97" xfId="0" applyFont="1" applyBorder="1" applyAlignment="1">
      <alignment horizontal="center" vertical="center"/>
    </xf>
    <xf numFmtId="0" fontId="32" fillId="0" borderId="0" xfId="0" applyFont="1" applyFill="1" applyBorder="1" applyAlignment="1">
      <alignment horizontal="center" vertical="center" wrapText="1"/>
    </xf>
    <xf numFmtId="0" fontId="0" fillId="0" borderId="75" xfId="0" applyBorder="1" applyAlignment="1">
      <alignment horizontal="center"/>
    </xf>
    <xf numFmtId="0" fontId="0" fillId="0" borderId="78" xfId="0" applyBorder="1" applyAlignment="1">
      <alignment horizontal="center"/>
    </xf>
    <xf numFmtId="0" fontId="0" fillId="0" borderId="76" xfId="0" applyBorder="1" applyAlignment="1">
      <alignment horizontal="center"/>
    </xf>
    <xf numFmtId="0" fontId="0" fillId="10" borderId="72" xfId="0" applyFill="1" applyBorder="1" applyAlignment="1" applyProtection="1">
      <alignment horizontal="center" vertical="center"/>
      <protection locked="0"/>
    </xf>
    <xf numFmtId="0" fontId="0" fillId="10" borderId="11" xfId="0" applyFill="1" applyBorder="1" applyAlignment="1" applyProtection="1">
      <alignment horizontal="center" vertical="center"/>
      <protection locked="0"/>
    </xf>
    <xf numFmtId="0" fontId="0" fillId="10" borderId="73" xfId="0" applyFill="1" applyBorder="1" applyAlignment="1" applyProtection="1">
      <alignment horizontal="center" vertical="center"/>
      <protection locked="0"/>
    </xf>
    <xf numFmtId="0" fontId="5" fillId="0" borderId="4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06"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03" xfId="0" applyFont="1" applyBorder="1" applyAlignment="1">
      <alignment horizontal="center" vertical="center" wrapText="1"/>
    </xf>
    <xf numFmtId="0" fontId="5" fillId="9" borderId="107" xfId="0" applyFont="1" applyFill="1" applyBorder="1" applyAlignment="1" applyProtection="1">
      <alignment horizontal="center" vertical="center"/>
      <protection locked="0"/>
    </xf>
    <xf numFmtId="0" fontId="5" fillId="9" borderId="49" xfId="0" applyFont="1" applyFill="1" applyBorder="1" applyAlignment="1" applyProtection="1">
      <alignment horizontal="center" vertical="center"/>
      <protection locked="0"/>
    </xf>
    <xf numFmtId="0" fontId="5" fillId="9" borderId="16" xfId="0" applyFont="1" applyFill="1" applyBorder="1" applyAlignment="1" applyProtection="1">
      <alignment horizontal="center" vertical="center"/>
      <protection locked="0"/>
    </xf>
    <xf numFmtId="0" fontId="5" fillId="9" borderId="53" xfId="0" applyFont="1" applyFill="1" applyBorder="1" applyAlignment="1" applyProtection="1">
      <alignment horizontal="center" vertical="center"/>
      <protection locked="0"/>
    </xf>
    <xf numFmtId="0" fontId="5" fillId="9" borderId="105" xfId="0" applyFont="1" applyFill="1" applyBorder="1" applyAlignment="1" applyProtection="1">
      <alignment horizontal="center" vertical="center"/>
      <protection locked="0"/>
    </xf>
    <xf numFmtId="0" fontId="5" fillId="9" borderId="51" xfId="0" applyFont="1" applyFill="1" applyBorder="1" applyAlignment="1" applyProtection="1">
      <alignment horizontal="center" vertical="center"/>
      <protection locked="0"/>
    </xf>
    <xf numFmtId="0" fontId="39" fillId="0" borderId="91" xfId="0" applyFont="1" applyBorder="1" applyAlignment="1">
      <alignment horizontal="center" vertical="center"/>
    </xf>
    <xf numFmtId="0" fontId="39" fillId="0" borderId="92" xfId="0" applyFont="1" applyBorder="1" applyAlignment="1">
      <alignment horizontal="center" vertical="center"/>
    </xf>
    <xf numFmtId="0" fontId="96" fillId="9" borderId="14" xfId="7" applyFont="1" applyFill="1" applyBorder="1" applyAlignment="1" applyProtection="1">
      <alignment horizontal="center" vertical="center"/>
      <protection locked="0"/>
    </xf>
    <xf numFmtId="0" fontId="11" fillId="9" borderId="19" xfId="0" applyFont="1" applyFill="1" applyBorder="1" applyAlignment="1" applyProtection="1">
      <alignment horizontal="center" vertical="center"/>
      <protection locked="0"/>
    </xf>
    <xf numFmtId="0" fontId="11" fillId="9" borderId="18" xfId="0" applyFont="1" applyFill="1" applyBorder="1" applyAlignment="1" applyProtection="1">
      <alignment horizontal="center" vertical="center"/>
      <protection locked="0"/>
    </xf>
    <xf numFmtId="0" fontId="15"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0" fillId="0" borderId="12" xfId="0" applyBorder="1" applyAlignment="1">
      <alignment horizontal="center" vertical="center"/>
    </xf>
    <xf numFmtId="0" fontId="0" fillId="11" borderId="12" xfId="0" applyFill="1" applyBorder="1" applyAlignment="1">
      <alignment horizontal="center" vertical="center"/>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11" fillId="9" borderId="72" xfId="0" applyFont="1" applyFill="1" applyBorder="1" applyAlignment="1" applyProtection="1">
      <alignment horizontal="center" vertical="center" wrapText="1"/>
      <protection locked="0"/>
    </xf>
    <xf numFmtId="0" fontId="11" fillId="9" borderId="11" xfId="0" applyFont="1" applyFill="1" applyBorder="1" applyAlignment="1" applyProtection="1">
      <alignment horizontal="center" vertical="center" wrapText="1"/>
      <protection locked="0"/>
    </xf>
    <xf numFmtId="0" fontId="11" fillId="9" borderId="73" xfId="0" applyFont="1" applyFill="1" applyBorder="1" applyAlignment="1" applyProtection="1">
      <alignment horizontal="center" vertical="center" wrapText="1"/>
      <protection locked="0"/>
    </xf>
    <xf numFmtId="0" fontId="39" fillId="0" borderId="83" xfId="0" applyFont="1" applyBorder="1" applyAlignment="1">
      <alignment horizontal="center" vertical="center"/>
    </xf>
    <xf numFmtId="0" fontId="39" fillId="0" borderId="84" xfId="0" applyFont="1" applyBorder="1" applyAlignment="1">
      <alignment horizontal="center" vertical="center"/>
    </xf>
    <xf numFmtId="0" fontId="11" fillId="9" borderId="94" xfId="0" applyFont="1" applyFill="1" applyBorder="1" applyAlignment="1" applyProtection="1">
      <alignment horizontal="center" vertical="center"/>
      <protection locked="0"/>
    </xf>
    <xf numFmtId="0" fontId="11" fillId="9" borderId="15" xfId="0" applyFont="1" applyFill="1" applyBorder="1" applyAlignment="1" applyProtection="1">
      <alignment horizontal="center" vertical="center"/>
      <protection locked="0"/>
    </xf>
    <xf numFmtId="0" fontId="11" fillId="9" borderId="95" xfId="0" applyFont="1" applyFill="1" applyBorder="1" applyAlignment="1" applyProtection="1">
      <alignment horizontal="center" vertical="center"/>
      <protection locked="0"/>
    </xf>
    <xf numFmtId="0" fontId="12" fillId="0" borderId="48"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51" xfId="0" applyFont="1" applyBorder="1" applyAlignment="1">
      <alignment horizontal="center" vertical="center" wrapText="1"/>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11" fillId="9" borderId="72" xfId="0" applyFont="1" applyFill="1" applyBorder="1" applyAlignment="1" applyProtection="1">
      <alignment horizontal="center" vertical="center"/>
      <protection locked="0"/>
    </xf>
    <xf numFmtId="0" fontId="11" fillId="9" borderId="11" xfId="0" applyFont="1" applyFill="1" applyBorder="1" applyAlignment="1" applyProtection="1">
      <alignment horizontal="center" vertical="center"/>
      <protection locked="0"/>
    </xf>
    <xf numFmtId="0" fontId="11" fillId="9" borderId="73" xfId="0" applyFont="1" applyFill="1" applyBorder="1" applyAlignment="1" applyProtection="1">
      <alignment horizontal="center" vertical="center"/>
      <protection locked="0"/>
    </xf>
    <xf numFmtId="0" fontId="4" fillId="0" borderId="14" xfId="0" applyFont="1" applyBorder="1" applyAlignment="1">
      <alignment horizontal="center"/>
    </xf>
    <xf numFmtId="0" fontId="4" fillId="0" borderId="19" xfId="0" applyFont="1" applyBorder="1" applyAlignment="1">
      <alignment horizontal="center"/>
    </xf>
    <xf numFmtId="0" fontId="4" fillId="0" borderId="18" xfId="0" applyFont="1" applyBorder="1" applyAlignment="1">
      <alignment horizont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77" fillId="0" borderId="45" xfId="0" applyFont="1" applyBorder="1" applyAlignment="1">
      <alignment horizontal="center" vertical="center" wrapText="1"/>
    </xf>
    <xf numFmtId="0" fontId="77" fillId="0" borderId="46" xfId="0" applyFont="1" applyBorder="1" applyAlignment="1">
      <alignment horizontal="center" vertical="center" wrapText="1"/>
    </xf>
    <xf numFmtId="0" fontId="77" fillId="0" borderId="47"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0" xfId="0" applyAlignment="1">
      <alignment horizontal="center" vertical="center" wrapText="1"/>
    </xf>
    <xf numFmtId="0" fontId="15" fillId="0" borderId="0" xfId="0" applyFont="1" applyAlignment="1">
      <alignment horizontal="center" vertical="center"/>
    </xf>
    <xf numFmtId="0" fontId="0" fillId="0" borderId="0" xfId="0" applyAlignment="1">
      <alignment horizontal="center" vertical="center"/>
    </xf>
    <xf numFmtId="0" fontId="15" fillId="0" borderId="0" xfId="0" applyFont="1" applyBorder="1" applyAlignment="1">
      <alignment horizontal="center" vertical="center"/>
    </xf>
    <xf numFmtId="49" fontId="11" fillId="9" borderId="75" xfId="0" applyNumberFormat="1" applyFont="1" applyFill="1" applyBorder="1" applyAlignment="1" applyProtection="1">
      <alignment horizontal="center" vertical="center"/>
      <protection locked="0"/>
    </xf>
    <xf numFmtId="49" fontId="11" fillId="9" borderId="78" xfId="0" applyNumberFormat="1" applyFont="1" applyFill="1" applyBorder="1" applyAlignment="1" applyProtection="1">
      <alignment horizontal="center" vertical="center"/>
      <protection locked="0"/>
    </xf>
    <xf numFmtId="49" fontId="11" fillId="9" borderId="76" xfId="0" applyNumberFormat="1" applyFont="1" applyFill="1" applyBorder="1" applyAlignment="1" applyProtection="1">
      <alignment horizontal="center" vertical="center"/>
      <protection locked="0"/>
    </xf>
    <xf numFmtId="0" fontId="39" fillId="0" borderId="66" xfId="0" applyFont="1" applyBorder="1" applyAlignment="1">
      <alignment horizontal="center" vertical="center"/>
    </xf>
    <xf numFmtId="0" fontId="39" fillId="0" borderId="67"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4" xfId="0" applyBorder="1" applyAlignment="1">
      <alignment horizontal="center"/>
    </xf>
    <xf numFmtId="0" fontId="0" fillId="0" borderId="19" xfId="0" applyBorder="1" applyAlignment="1">
      <alignment horizontal="center"/>
    </xf>
    <xf numFmtId="0" fontId="0" fillId="0" borderId="18" xfId="0" applyBorder="1" applyAlignment="1">
      <alignment horizont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32" xfId="0" applyBorder="1" applyAlignment="1">
      <alignment horizontal="center" vertical="center" wrapText="1"/>
    </xf>
    <xf numFmtId="0" fontId="0" fillId="0" borderId="49" xfId="0" applyBorder="1" applyAlignment="1">
      <alignment horizontal="center" vertical="center" wrapText="1"/>
    </xf>
    <xf numFmtId="0" fontId="0" fillId="0" borderId="52" xfId="0" applyBorder="1" applyAlignment="1">
      <alignment horizontal="center" vertical="center" wrapText="1"/>
    </xf>
    <xf numFmtId="0" fontId="0" fillId="0" borderId="0" xfId="0" applyBorder="1" applyAlignment="1">
      <alignment horizontal="center" vertical="center" wrapText="1"/>
    </xf>
    <xf numFmtId="0" fontId="0" fillId="0" borderId="53" xfId="0" applyBorder="1" applyAlignment="1">
      <alignment horizontal="center" vertical="center" wrapText="1"/>
    </xf>
    <xf numFmtId="0" fontId="0" fillId="0" borderId="50" xfId="0" applyBorder="1" applyAlignment="1">
      <alignment horizontal="center" vertical="center" wrapText="1"/>
    </xf>
    <xf numFmtId="0" fontId="0" fillId="0" borderId="33" xfId="0" applyBorder="1" applyAlignment="1">
      <alignment horizontal="center" vertical="center" wrapText="1"/>
    </xf>
    <xf numFmtId="0" fontId="0" fillId="0" borderId="51" xfId="0" applyBorder="1" applyAlignment="1">
      <alignment horizontal="center" vertical="center" wrapText="1"/>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48" xfId="0" applyBorder="1" applyAlignment="1">
      <alignment horizontal="center"/>
    </xf>
    <xf numFmtId="0" fontId="0" fillId="0" borderId="32" xfId="0" applyBorder="1" applyAlignment="1">
      <alignment horizontal="center"/>
    </xf>
    <xf numFmtId="0" fontId="0" fillId="0" borderId="49" xfId="0" applyBorder="1" applyAlignment="1">
      <alignment horizontal="center"/>
    </xf>
    <xf numFmtId="0" fontId="5" fillId="9" borderId="75" xfId="0" applyFont="1" applyFill="1" applyBorder="1" applyAlignment="1" applyProtection="1">
      <alignment horizontal="center"/>
      <protection locked="0"/>
    </xf>
    <xf numFmtId="0" fontId="5" fillId="9" borderId="78" xfId="0" applyFont="1" applyFill="1" applyBorder="1" applyAlignment="1" applyProtection="1">
      <alignment horizontal="center"/>
      <protection locked="0"/>
    </xf>
    <xf numFmtId="0" fontId="5" fillId="9" borderId="76" xfId="0" applyFont="1" applyFill="1" applyBorder="1" applyAlignment="1" applyProtection="1">
      <alignment horizontal="center"/>
      <protection locked="0"/>
    </xf>
    <xf numFmtId="0" fontId="5" fillId="14" borderId="48" xfId="0" applyFont="1" applyFill="1" applyBorder="1" applyAlignment="1">
      <alignment horizontal="center" vertical="center" wrapText="1"/>
    </xf>
    <xf numFmtId="0" fontId="5" fillId="14" borderId="32" xfId="0" applyFont="1" applyFill="1" applyBorder="1" applyAlignment="1">
      <alignment horizontal="center" vertical="center" wrapText="1"/>
    </xf>
    <xf numFmtId="0" fontId="5" fillId="14" borderId="106" xfId="0" applyFont="1" applyFill="1" applyBorder="1" applyAlignment="1">
      <alignment horizontal="center" vertical="center" wrapText="1"/>
    </xf>
    <xf numFmtId="0" fontId="5" fillId="14" borderId="52" xfId="0" applyFont="1" applyFill="1" applyBorder="1" applyAlignment="1">
      <alignment horizontal="center" vertical="center" wrapText="1"/>
    </xf>
    <xf numFmtId="0" fontId="5" fillId="14" borderId="0"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14" borderId="50" xfId="0" applyFont="1" applyFill="1" applyBorder="1" applyAlignment="1">
      <alignment horizontal="center" vertical="center" wrapText="1"/>
    </xf>
    <xf numFmtId="0" fontId="5" fillId="14" borderId="33" xfId="0" applyFont="1" applyFill="1" applyBorder="1" applyAlignment="1">
      <alignment horizontal="center" vertical="center" wrapText="1"/>
    </xf>
    <xf numFmtId="0" fontId="5" fillId="14" borderId="103" xfId="0" applyFont="1" applyFill="1" applyBorder="1" applyAlignment="1">
      <alignment horizontal="center" vertical="center" wrapText="1"/>
    </xf>
    <xf numFmtId="0" fontId="0" fillId="10" borderId="107" xfId="0" applyFill="1" applyBorder="1" applyAlignment="1" applyProtection="1">
      <alignment horizontal="center" vertical="center" wrapText="1"/>
      <protection locked="0"/>
    </xf>
    <xf numFmtId="0" fontId="0" fillId="10" borderId="49" xfId="0" applyFill="1" applyBorder="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0" fontId="0" fillId="10" borderId="53" xfId="0" applyFill="1" applyBorder="1" applyAlignment="1" applyProtection="1">
      <alignment horizontal="center" vertical="center" wrapText="1"/>
      <protection locked="0"/>
    </xf>
    <xf numFmtId="0" fontId="0" fillId="10" borderId="105" xfId="0" applyFill="1" applyBorder="1" applyAlignment="1" applyProtection="1">
      <alignment horizontal="center" vertical="center" wrapText="1"/>
      <protection locked="0"/>
    </xf>
    <xf numFmtId="0" fontId="0" fillId="10" borderId="51" xfId="0" applyFill="1" applyBorder="1" applyAlignment="1" applyProtection="1">
      <alignment horizontal="center" vertical="center" wrapText="1"/>
      <protection locked="0"/>
    </xf>
    <xf numFmtId="14" fontId="0" fillId="0" borderId="74" xfId="0" applyNumberFormat="1" applyBorder="1" applyAlignment="1">
      <alignment horizontal="center"/>
    </xf>
    <xf numFmtId="14" fontId="0" fillId="0" borderId="77" xfId="0" applyNumberFormat="1" applyBorder="1" applyAlignment="1">
      <alignment horizontal="center"/>
    </xf>
    <xf numFmtId="14" fontId="0" fillId="0" borderId="109" xfId="0" applyNumberFormat="1" applyBorder="1" applyAlignment="1">
      <alignment horizontal="center"/>
    </xf>
    <xf numFmtId="0" fontId="0" fillId="0" borderId="50" xfId="0" applyBorder="1" applyAlignment="1">
      <alignment horizontal="center"/>
    </xf>
    <xf numFmtId="0" fontId="0" fillId="0" borderId="33" xfId="0" applyBorder="1" applyAlignment="1">
      <alignment horizontal="center"/>
    </xf>
    <xf numFmtId="0" fontId="0" fillId="0" borderId="51" xfId="0" applyBorder="1" applyAlignment="1">
      <alignment horizontal="center"/>
    </xf>
    <xf numFmtId="0" fontId="0" fillId="0" borderId="75"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72" xfId="0" applyFont="1" applyBorder="1" applyAlignment="1">
      <alignment horizontal="center" vertical="center" wrapText="1"/>
    </xf>
    <xf numFmtId="0" fontId="0" fillId="0" borderId="74"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2"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Font="1" applyBorder="1" applyAlignment="1">
      <alignment horizontal="center" vertical="center"/>
    </xf>
    <xf numFmtId="0" fontId="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0" fillId="0" borderId="0" xfId="0" applyFont="1" applyBorder="1" applyAlignment="1">
      <alignment horizontal="center" vertical="center" wrapText="1"/>
    </xf>
    <xf numFmtId="164" fontId="0" fillId="0" borderId="5" xfId="0" applyNumberFormat="1" applyFont="1" applyBorder="1" applyAlignment="1">
      <alignment horizontal="center"/>
    </xf>
    <xf numFmtId="0" fontId="4" fillId="0" borderId="1" xfId="0" applyFont="1" applyFill="1" applyBorder="1" applyAlignment="1">
      <alignment horizontal="center" vertical="center" wrapText="1"/>
    </xf>
    <xf numFmtId="164" fontId="25" fillId="0" borderId="1" xfId="0" applyNumberFormat="1" applyFont="1" applyBorder="1" applyAlignment="1">
      <alignment horizontal="center"/>
    </xf>
    <xf numFmtId="164" fontId="4" fillId="0" borderId="5" xfId="0" applyNumberFormat="1" applyFont="1" applyBorder="1" applyAlignment="1">
      <alignment horizontal="center" vertical="center" wrapText="1"/>
    </xf>
    <xf numFmtId="164" fontId="6" fillId="0" borderId="28" xfId="0" applyNumberFormat="1" applyFont="1" applyBorder="1" applyAlignment="1">
      <alignment horizontal="center" vertical="center"/>
    </xf>
    <xf numFmtId="164" fontId="26" fillId="0" borderId="29" xfId="0" applyNumberFormat="1" applyFont="1" applyBorder="1" applyAlignment="1">
      <alignment horizontal="center" vertical="center"/>
    </xf>
    <xf numFmtId="164" fontId="26" fillId="0" borderId="87" xfId="0" applyNumberFormat="1" applyFont="1" applyBorder="1" applyAlignment="1">
      <alignment horizontal="center" vertical="center"/>
    </xf>
    <xf numFmtId="1" fontId="6" fillId="0" borderId="1" xfId="0" applyNumberFormat="1" applyFont="1" applyFill="1" applyBorder="1" applyAlignment="1">
      <alignment horizontal="center" vertical="center"/>
    </xf>
    <xf numFmtId="1" fontId="4"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64" fontId="4" fillId="0"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0" fillId="0" borderId="45" xfId="0" applyFont="1" applyBorder="1" applyAlignment="1">
      <alignment horizontal="center" vertical="center" wrapText="1"/>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5" fillId="0" borderId="0" xfId="0" applyFont="1" applyAlignment="1">
      <alignment horizontal="center" vertical="center" wrapText="1"/>
    </xf>
    <xf numFmtId="0" fontId="5" fillId="0" borderId="48" xfId="0" applyFont="1" applyBorder="1" applyAlignment="1">
      <alignment horizontal="left" vertical="center" wrapText="1"/>
    </xf>
    <xf numFmtId="0" fontId="0" fillId="0" borderId="32" xfId="0" applyBorder="1" applyAlignment="1"/>
    <xf numFmtId="0" fontId="0" fillId="0" borderId="49" xfId="0" applyBorder="1" applyAlignment="1"/>
    <xf numFmtId="0" fontId="0" fillId="0" borderId="52" xfId="0" applyBorder="1" applyAlignment="1"/>
    <xf numFmtId="0" fontId="0" fillId="0" borderId="0" xfId="0" applyBorder="1" applyAlignment="1"/>
    <xf numFmtId="0" fontId="0" fillId="0" borderId="53" xfId="0" applyBorder="1" applyAlignment="1"/>
    <xf numFmtId="0" fontId="0" fillId="0" borderId="50" xfId="0" applyBorder="1" applyAlignment="1"/>
    <xf numFmtId="0" fontId="0" fillId="0" borderId="33" xfId="0" applyBorder="1" applyAlignment="1"/>
    <xf numFmtId="0" fontId="0" fillId="0" borderId="51" xfId="0" applyBorder="1" applyAlignment="1"/>
    <xf numFmtId="0" fontId="15" fillId="0" borderId="0" xfId="0" applyFont="1" applyBorder="1" applyAlignment="1">
      <alignment horizontal="center" vertical="center" wrapText="1"/>
    </xf>
    <xf numFmtId="0" fontId="0" fillId="0" borderId="0" xfId="0" applyAlignment="1"/>
    <xf numFmtId="0" fontId="4" fillId="0" borderId="2" xfId="0" applyFont="1"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4" fillId="0" borderId="0" xfId="0" applyFont="1" applyBorder="1" applyAlignment="1">
      <alignment horizontal="center" vertical="center"/>
    </xf>
    <xf numFmtId="2" fontId="4" fillId="0" borderId="0" xfId="0" applyNumberFormat="1" applyFont="1" applyBorder="1" applyAlignment="1">
      <alignment horizontal="center"/>
    </xf>
    <xf numFmtId="0" fontId="4" fillId="0" borderId="2" xfId="0" applyFont="1"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4" fillId="0" borderId="7" xfId="0" applyFont="1"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15" fillId="0" borderId="53" xfId="0" applyFont="1" applyBorder="1" applyAlignment="1">
      <alignment horizontal="center" vertical="center" wrapText="1"/>
    </xf>
    <xf numFmtId="0" fontId="0" fillId="0" borderId="53" xfId="0" applyBorder="1" applyAlignment="1">
      <alignment vertical="center" wrapText="1"/>
    </xf>
    <xf numFmtId="0" fontId="4" fillId="0" borderId="0" xfId="0" applyFont="1" applyAlignment="1">
      <alignment horizontal="center" vertical="center" wrapText="1"/>
    </xf>
    <xf numFmtId="0" fontId="0" fillId="0" borderId="1" xfId="0" applyBorder="1" applyAlignment="1">
      <alignment wrapText="1"/>
    </xf>
    <xf numFmtId="0" fontId="0" fillId="0" borderId="1" xfId="0" applyBorder="1" applyAlignment="1"/>
    <xf numFmtId="0" fontId="0" fillId="0" borderId="2" xfId="0" applyBorder="1" applyAlignment="1">
      <alignment wrapText="1"/>
    </xf>
    <xf numFmtId="0" fontId="83" fillId="0" borderId="48" xfId="0" applyFont="1" applyBorder="1" applyAlignment="1">
      <alignment horizontal="center" vertical="center" wrapText="1"/>
    </xf>
    <xf numFmtId="0" fontId="83" fillId="0" borderId="32" xfId="0" applyFont="1" applyBorder="1" applyAlignment="1">
      <alignment horizontal="center" vertical="center" wrapText="1"/>
    </xf>
    <xf numFmtId="0" fontId="83" fillId="0" borderId="49" xfId="0" applyFont="1" applyBorder="1" applyAlignment="1">
      <alignment horizontal="center" vertical="center" wrapText="1"/>
    </xf>
    <xf numFmtId="0" fontId="83" fillId="0" borderId="52" xfId="0" applyFont="1" applyBorder="1" applyAlignment="1">
      <alignment horizontal="center" vertical="center" wrapText="1"/>
    </xf>
    <xf numFmtId="0" fontId="83" fillId="0" borderId="0" xfId="0" applyFont="1" applyBorder="1" applyAlignment="1">
      <alignment horizontal="center" vertical="center" wrapText="1"/>
    </xf>
    <xf numFmtId="0" fontId="83" fillId="0" borderId="53" xfId="0" applyFont="1" applyBorder="1" applyAlignment="1">
      <alignment horizontal="center" vertical="center" wrapText="1"/>
    </xf>
    <xf numFmtId="0" fontId="83" fillId="0" borderId="50" xfId="0" applyFont="1" applyBorder="1" applyAlignment="1">
      <alignment horizontal="center" vertical="center" wrapText="1"/>
    </xf>
    <xf numFmtId="0" fontId="83" fillId="0" borderId="33" xfId="0" applyFont="1" applyBorder="1" applyAlignment="1">
      <alignment horizontal="center" vertical="center" wrapText="1"/>
    </xf>
    <xf numFmtId="0" fontId="83"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8" xfId="0" applyFont="1" applyBorder="1" applyAlignment="1">
      <alignment horizontal="center" vertical="center" wrapText="1"/>
    </xf>
    <xf numFmtId="164" fontId="0" fillId="0" borderId="4" xfId="0" applyNumberFormat="1" applyFont="1" applyBorder="1" applyAlignment="1">
      <alignment horizontal="center" vertical="center"/>
    </xf>
    <xf numFmtId="164" fontId="0" fillId="0" borderId="5"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8" xfId="0" applyFont="1" applyBorder="1" applyAlignment="1">
      <alignment horizontal="center" vertical="center" wrapText="1"/>
    </xf>
    <xf numFmtId="164" fontId="5" fillId="0" borderId="13"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87" fillId="0" borderId="0" xfId="0" applyFont="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52" fillId="0" borderId="0" xfId="0" applyFont="1" applyAlignment="1">
      <alignment horizontal="center" vertical="center"/>
    </xf>
    <xf numFmtId="0" fontId="81" fillId="0" borderId="0" xfId="0" applyFont="1" applyAlignment="1">
      <alignment horizontal="center" vertical="center"/>
    </xf>
    <xf numFmtId="0" fontId="0"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80" fillId="0" borderId="2" xfId="0" applyFont="1" applyFill="1" applyBorder="1" applyAlignment="1">
      <alignment horizontal="center" vertical="center" wrapText="1"/>
    </xf>
    <xf numFmtId="0" fontId="56"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1" xfId="0" applyFont="1" applyBorder="1" applyAlignment="1">
      <alignment horizontal="center" vertical="center"/>
    </xf>
    <xf numFmtId="0" fontId="5" fillId="0" borderId="4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63" xfId="0" applyFont="1" applyBorder="1" applyAlignment="1">
      <alignment horizontal="center" vertical="center"/>
    </xf>
    <xf numFmtId="0" fontId="4" fillId="0" borderId="63" xfId="0" applyFont="1" applyBorder="1" applyAlignment="1">
      <alignment horizontal="center" vertical="center" wrapText="1"/>
    </xf>
    <xf numFmtId="1" fontId="112" fillId="0" borderId="2" xfId="0" applyNumberFormat="1" applyFont="1" applyBorder="1" applyAlignment="1">
      <alignment horizontal="center"/>
    </xf>
    <xf numFmtId="1" fontId="112" fillId="0" borderId="3" xfId="0" applyNumberFormat="1" applyFont="1" applyBorder="1" applyAlignment="1">
      <alignment horizontal="center"/>
    </xf>
    <xf numFmtId="164" fontId="93" fillId="0" borderId="1" xfId="0" applyNumberFormat="1" applyFont="1" applyBorder="1" applyAlignment="1">
      <alignment horizontal="center"/>
    </xf>
    <xf numFmtId="0" fontId="4" fillId="0" borderId="4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85" xfId="0" applyFont="1" applyBorder="1" applyAlignment="1">
      <alignment horizontal="center" vertical="center"/>
    </xf>
    <xf numFmtId="0" fontId="4" fillId="0" borderId="24" xfId="0" applyFont="1" applyBorder="1" applyAlignment="1">
      <alignment horizontal="center" vertical="center"/>
    </xf>
    <xf numFmtId="0" fontId="4" fillId="0" borderId="86" xfId="0" applyFont="1" applyBorder="1" applyAlignment="1">
      <alignment horizontal="center" vertical="center"/>
    </xf>
    <xf numFmtId="0" fontId="4" fillId="0" borderId="17" xfId="0" applyFont="1" applyBorder="1" applyAlignment="1">
      <alignment horizontal="center" vertical="center"/>
    </xf>
    <xf numFmtId="0" fontId="112" fillId="0" borderId="1" xfId="0" applyFont="1" applyFill="1" applyBorder="1" applyAlignment="1">
      <alignment horizontal="center" vertical="center" wrapText="1"/>
    </xf>
    <xf numFmtId="0" fontId="112" fillId="0" borderId="2" xfId="0" applyFont="1" applyBorder="1" applyAlignment="1">
      <alignment horizontal="center" vertical="center" wrapText="1"/>
    </xf>
    <xf numFmtId="0" fontId="112" fillId="0" borderId="3" xfId="0" applyFont="1" applyBorder="1" applyAlignment="1">
      <alignment horizontal="center" vertical="center" wrapText="1"/>
    </xf>
    <xf numFmtId="0" fontId="39" fillId="0" borderId="0" xfId="0" applyFont="1" applyBorder="1" applyAlignment="1">
      <alignment horizontal="center" vertical="center" wrapText="1"/>
    </xf>
    <xf numFmtId="0" fontId="101" fillId="0" borderId="0" xfId="0" applyFont="1" applyAlignment="1">
      <alignment horizontal="center" vertical="center" wrapText="1"/>
    </xf>
    <xf numFmtId="0" fontId="103" fillId="0" borderId="0" xfId="0" applyFont="1" applyAlignment="1">
      <alignment horizontal="center" vertical="center" wrapText="1"/>
    </xf>
    <xf numFmtId="0" fontId="44" fillId="0" borderId="1" xfId="0" applyFont="1" applyBorder="1" applyAlignment="1">
      <alignment horizontal="center" vertical="center"/>
    </xf>
    <xf numFmtId="1" fontId="44" fillId="0" borderId="89" xfId="0" applyNumberFormat="1" applyFont="1" applyBorder="1" applyAlignment="1">
      <alignment horizontal="center" vertical="center"/>
    </xf>
    <xf numFmtId="0" fontId="39" fillId="0" borderId="90" xfId="0" applyFont="1" applyBorder="1" applyAlignment="1">
      <alignment horizontal="center" vertical="center"/>
    </xf>
    <xf numFmtId="1" fontId="44" fillId="0" borderId="68" xfId="0" applyNumberFormat="1" applyFont="1" applyBorder="1" applyAlignment="1">
      <alignment horizontal="center" vertical="center"/>
    </xf>
    <xf numFmtId="0" fontId="56" fillId="0" borderId="91" xfId="0" applyFont="1" applyBorder="1" applyAlignment="1">
      <alignment horizontal="center" vertical="center" wrapText="1"/>
    </xf>
    <xf numFmtId="0" fontId="56" fillId="0" borderId="100" xfId="0" applyFont="1" applyBorder="1" applyAlignment="1">
      <alignment horizontal="center" vertical="center" wrapText="1"/>
    </xf>
    <xf numFmtId="0" fontId="39" fillId="0" borderId="92" xfId="0" applyFont="1" applyBorder="1" applyAlignment="1">
      <alignment horizontal="center" vertical="center" wrapText="1"/>
    </xf>
    <xf numFmtId="0" fontId="101" fillId="0" borderId="0" xfId="0" applyFont="1" applyAlignment="1">
      <alignment horizontal="left" vertical="center" wrapText="1"/>
    </xf>
    <xf numFmtId="0" fontId="102" fillId="0" borderId="0" xfId="0" applyFont="1" applyAlignment="1">
      <alignment horizontal="left" vertical="center" wrapText="1"/>
    </xf>
    <xf numFmtId="0" fontId="103" fillId="0" borderId="0" xfId="0" applyFont="1" applyAlignment="1">
      <alignment vertical="center" wrapText="1"/>
    </xf>
    <xf numFmtId="0" fontId="106" fillId="0" borderId="0" xfId="7" applyFont="1" applyAlignment="1" applyProtection="1">
      <alignment horizontal="left" vertical="center"/>
      <protection locked="0"/>
    </xf>
    <xf numFmtId="0" fontId="103" fillId="0" borderId="0" xfId="0" applyFont="1" applyAlignment="1" applyProtection="1">
      <alignment vertical="center"/>
      <protection locked="0"/>
    </xf>
    <xf numFmtId="0" fontId="97" fillId="0" borderId="75" xfId="0" applyFont="1" applyBorder="1" applyAlignment="1">
      <alignment horizontal="center" vertical="center" wrapText="1"/>
    </xf>
    <xf numFmtId="0" fontId="97" fillId="0" borderId="74" xfId="0" applyFont="1" applyBorder="1" applyAlignment="1">
      <alignment horizontal="center" vertical="center" wrapText="1"/>
    </xf>
    <xf numFmtId="0" fontId="97" fillId="0" borderId="80" xfId="0" applyFont="1" applyBorder="1" applyAlignment="1">
      <alignment horizontal="center" vertical="center" wrapText="1"/>
    </xf>
    <xf numFmtId="0" fontId="97" fillId="0" borderId="79" xfId="0" applyFont="1" applyBorder="1" applyAlignment="1">
      <alignment horizontal="center" vertical="center" wrapText="1"/>
    </xf>
    <xf numFmtId="0" fontId="97" fillId="0" borderId="78" xfId="0" applyFont="1" applyBorder="1" applyAlignment="1">
      <alignment horizontal="center" vertical="center" wrapText="1"/>
    </xf>
    <xf numFmtId="0" fontId="97" fillId="0" borderId="77" xfId="0" applyFont="1" applyBorder="1" applyAlignment="1">
      <alignment horizontal="center" vertical="center" wrapText="1"/>
    </xf>
    <xf numFmtId="0" fontId="44" fillId="0" borderId="4" xfId="0" applyFont="1" applyBorder="1" applyAlignment="1">
      <alignment horizontal="center" vertical="center"/>
    </xf>
    <xf numFmtId="0" fontId="56" fillId="0" borderId="91" xfId="0" applyFont="1" applyBorder="1" applyAlignment="1">
      <alignment horizontal="center" vertical="center"/>
    </xf>
    <xf numFmtId="0" fontId="56" fillId="0" borderId="100" xfId="0" applyFont="1" applyBorder="1" applyAlignment="1">
      <alignment horizontal="center" vertical="center"/>
    </xf>
    <xf numFmtId="1" fontId="44" fillId="0" borderId="0" xfId="0" applyNumberFormat="1" applyFont="1" applyBorder="1" applyAlignment="1">
      <alignment horizontal="center" vertical="center" wrapText="1"/>
    </xf>
    <xf numFmtId="0" fontId="80" fillId="0" borderId="45" xfId="0" applyFont="1" applyBorder="1" applyAlignment="1">
      <alignment horizontal="center" vertical="center" wrapText="1"/>
    </xf>
    <xf numFmtId="0" fontId="39" fillId="0" borderId="47" xfId="0" applyFont="1" applyBorder="1" applyAlignment="1">
      <alignment horizontal="center" vertical="center" wrapText="1"/>
    </xf>
    <xf numFmtId="0" fontId="11" fillId="0" borderId="0" xfId="0" applyFont="1" applyAlignment="1">
      <alignment horizontal="center" vertical="center"/>
    </xf>
    <xf numFmtId="0" fontId="39" fillId="0" borderId="0" xfId="0" applyFont="1" applyAlignment="1">
      <alignment horizontal="center" vertical="center"/>
    </xf>
    <xf numFmtId="0" fontId="12" fillId="0" borderId="0" xfId="0" applyFont="1" applyAlignment="1">
      <alignment horizontal="center" vertical="center"/>
    </xf>
    <xf numFmtId="0" fontId="56" fillId="0" borderId="0" xfId="0" applyFont="1" applyAlignment="1">
      <alignment horizontal="center" vertical="center"/>
    </xf>
    <xf numFmtId="0" fontId="80" fillId="0" borderId="14" xfId="0" applyFont="1" applyBorder="1" applyAlignment="1">
      <alignment horizontal="center" vertical="center" wrapText="1"/>
    </xf>
    <xf numFmtId="0" fontId="80" fillId="0" borderId="19" xfId="0" applyFont="1" applyBorder="1" applyAlignment="1">
      <alignment horizontal="center" vertical="center" wrapText="1"/>
    </xf>
    <xf numFmtId="0" fontId="39" fillId="0" borderId="18" xfId="0" applyFont="1" applyBorder="1" applyAlignment="1">
      <alignment horizontal="center" vertical="center" wrapText="1"/>
    </xf>
    <xf numFmtId="0" fontId="56" fillId="0" borderId="14" xfId="0" applyFont="1" applyBorder="1" applyAlignment="1">
      <alignment horizontal="center" vertical="center"/>
    </xf>
    <xf numFmtId="0" fontId="56" fillId="0" borderId="19" xfId="0" applyFont="1" applyBorder="1" applyAlignment="1">
      <alignment horizontal="center" vertical="center"/>
    </xf>
    <xf numFmtId="0" fontId="56" fillId="0" borderId="101" xfId="0" applyFont="1" applyBorder="1" applyAlignment="1">
      <alignment horizontal="center" vertical="center"/>
    </xf>
    <xf numFmtId="0" fontId="80" fillId="0" borderId="48" xfId="0" applyFont="1" applyBorder="1" applyAlignment="1">
      <alignment horizontal="center" vertical="center" wrapText="1"/>
    </xf>
    <xf numFmtId="0" fontId="80" fillId="0" borderId="32" xfId="0" applyFont="1" applyBorder="1" applyAlignment="1">
      <alignment horizontal="center" vertical="center" wrapText="1"/>
    </xf>
    <xf numFmtId="0" fontId="80" fillId="0" borderId="49" xfId="0" applyFont="1" applyBorder="1" applyAlignment="1">
      <alignment horizontal="center" vertical="center" wrapText="1"/>
    </xf>
    <xf numFmtId="0" fontId="80" fillId="0" borderId="52"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53" xfId="0" applyFont="1" applyBorder="1" applyAlignment="1">
      <alignment horizontal="center" vertical="center" wrapText="1"/>
    </xf>
    <xf numFmtId="0" fontId="80" fillId="0" borderId="50" xfId="0" applyFont="1" applyBorder="1" applyAlignment="1">
      <alignment horizontal="center" vertical="center" wrapText="1"/>
    </xf>
    <xf numFmtId="0" fontId="80" fillId="0" borderId="33" xfId="0" applyFont="1" applyBorder="1" applyAlignment="1">
      <alignment horizontal="center" vertical="center" wrapText="1"/>
    </xf>
    <xf numFmtId="0" fontId="80" fillId="0" borderId="51" xfId="0" applyFont="1" applyBorder="1" applyAlignment="1">
      <alignment horizontal="center" vertical="center" wrapText="1"/>
    </xf>
    <xf numFmtId="0" fontId="44" fillId="0" borderId="5" xfId="0" applyFont="1" applyBorder="1" applyAlignment="1">
      <alignment horizontal="center" vertical="center"/>
    </xf>
    <xf numFmtId="1" fontId="44" fillId="0" borderId="0" xfId="0" applyNumberFormat="1" applyFont="1" applyFill="1" applyBorder="1" applyAlignment="1">
      <alignment horizontal="center" vertical="center" wrapText="1"/>
    </xf>
    <xf numFmtId="0" fontId="11" fillId="0" borderId="75" xfId="0" applyFont="1" applyBorder="1" applyAlignment="1">
      <alignment horizontal="center" vertical="center"/>
    </xf>
    <xf numFmtId="0" fontId="11" fillId="0" borderId="78" xfId="0" applyFont="1" applyBorder="1" applyAlignment="1">
      <alignment horizontal="center" vertical="center"/>
    </xf>
    <xf numFmtId="0" fontId="11" fillId="0" borderId="108" xfId="0" applyFont="1" applyBorder="1" applyAlignment="1">
      <alignment horizontal="center" vertical="center"/>
    </xf>
    <xf numFmtId="0" fontId="11" fillId="0" borderId="72" xfId="0" applyFont="1" applyBorder="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68" xfId="0" applyFont="1" applyBorder="1" applyAlignment="1">
      <alignment horizontal="center" vertical="center"/>
    </xf>
    <xf numFmtId="0" fontId="11" fillId="0" borderId="1" xfId="0" applyFont="1" applyBorder="1" applyAlignment="1">
      <alignment horizontal="center" vertical="center"/>
    </xf>
    <xf numFmtId="1" fontId="44" fillId="0" borderId="70" xfId="0" applyNumberFormat="1" applyFont="1" applyBorder="1" applyAlignment="1">
      <alignment horizontal="center" vertical="center"/>
    </xf>
    <xf numFmtId="0" fontId="39" fillId="0" borderId="71" xfId="0" applyFont="1" applyBorder="1" applyAlignment="1">
      <alignment horizontal="center" vertical="center"/>
    </xf>
    <xf numFmtId="0" fontId="11" fillId="0" borderId="74" xfId="0" applyFont="1" applyBorder="1" applyAlignment="1">
      <alignment horizontal="center" vertical="center"/>
    </xf>
    <xf numFmtId="0" fontId="11" fillId="0" borderId="77" xfId="0" applyFont="1" applyBorder="1" applyAlignment="1">
      <alignment horizontal="center" vertical="center"/>
    </xf>
    <xf numFmtId="0" fontId="11" fillId="0" borderId="110"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11" fillId="0" borderId="101" xfId="0" applyFont="1" applyBorder="1" applyAlignment="1">
      <alignment horizontal="center" vertical="center"/>
    </xf>
    <xf numFmtId="0" fontId="12" fillId="0" borderId="14" xfId="0" applyFont="1" applyBorder="1" applyAlignment="1">
      <alignment horizontal="center" vertical="center"/>
    </xf>
    <xf numFmtId="0" fontId="12" fillId="0" borderId="19" xfId="0" applyFont="1" applyBorder="1" applyAlignment="1">
      <alignment horizontal="center" vertical="center"/>
    </xf>
    <xf numFmtId="0" fontId="12" fillId="0" borderId="101" xfId="0" applyFont="1" applyBorder="1" applyAlignment="1">
      <alignment horizontal="center" vertical="center"/>
    </xf>
    <xf numFmtId="0" fontId="11" fillId="0" borderId="94"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12" fillId="0" borderId="66"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4" xfId="0" applyFont="1" applyBorder="1" applyAlignment="1">
      <alignment horizontal="center" vertical="center" wrapText="1"/>
    </xf>
    <xf numFmtId="0" fontId="97" fillId="0" borderId="66" xfId="0" applyFont="1" applyBorder="1" applyAlignment="1">
      <alignment horizontal="center" vertical="center" wrapText="1"/>
    </xf>
    <xf numFmtId="0" fontId="39" fillId="0" borderId="67" xfId="0" applyFont="1" applyBorder="1" applyAlignment="1">
      <alignment horizontal="center" vertical="center" wrapText="1"/>
    </xf>
    <xf numFmtId="0" fontId="97" fillId="0" borderId="70" xfId="0" applyFont="1" applyBorder="1" applyAlignment="1">
      <alignment horizontal="center" vertical="center" wrapText="1"/>
    </xf>
    <xf numFmtId="0" fontId="39" fillId="0" borderId="71"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 xfId="0" applyFont="1" applyBorder="1" applyAlignment="1">
      <alignment horizontal="center" vertical="center" wrapText="1"/>
    </xf>
    <xf numFmtId="0" fontId="39" fillId="0" borderId="69"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98" xfId="0" applyFont="1" applyBorder="1" applyAlignment="1">
      <alignment horizontal="center" vertical="center" wrapText="1"/>
    </xf>
    <xf numFmtId="0" fontId="80" fillId="0" borderId="48" xfId="0" applyFont="1" applyBorder="1" applyAlignment="1">
      <alignment horizontal="center" vertical="center"/>
    </xf>
    <xf numFmtId="0" fontId="80" fillId="0" borderId="32" xfId="0" applyFont="1" applyBorder="1" applyAlignment="1">
      <alignment horizontal="center" vertical="center"/>
    </xf>
    <xf numFmtId="0" fontId="80" fillId="0" borderId="49" xfId="0" applyFont="1" applyBorder="1" applyAlignment="1">
      <alignment horizontal="center" vertical="center"/>
    </xf>
    <xf numFmtId="0" fontId="80" fillId="0" borderId="50" xfId="0" applyFont="1" applyBorder="1" applyAlignment="1">
      <alignment horizontal="center" vertical="center"/>
    </xf>
    <xf numFmtId="0" fontId="80" fillId="0" borderId="33" xfId="0" applyFont="1" applyBorder="1" applyAlignment="1">
      <alignment horizontal="center" vertical="center"/>
    </xf>
    <xf numFmtId="0" fontId="80" fillId="0" borderId="51" xfId="0" applyFont="1" applyBorder="1" applyAlignment="1">
      <alignment horizontal="center" vertical="center"/>
    </xf>
    <xf numFmtId="0" fontId="0" fillId="0" borderId="0" xfId="0"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18" fillId="0" borderId="1" xfId="0" applyFont="1" applyBorder="1" applyAlignment="1">
      <alignment horizontal="center" vertical="center"/>
    </xf>
    <xf numFmtId="0" fontId="0" fillId="0" borderId="1" xfId="0" applyFont="1" applyBorder="1" applyAlignment="1">
      <alignment horizontal="center"/>
    </xf>
    <xf numFmtId="0" fontId="17" fillId="0" borderId="1" xfId="0" applyFont="1" applyBorder="1" applyAlignment="1">
      <alignment horizontal="center"/>
    </xf>
    <xf numFmtId="0" fontId="0" fillId="0" borderId="5"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vertical="center" wrapText="1"/>
    </xf>
    <xf numFmtId="0" fontId="73" fillId="0" borderId="48" xfId="0" applyFont="1" applyFill="1" applyBorder="1" applyAlignment="1" applyProtection="1">
      <alignment horizontal="left" vertical="center"/>
    </xf>
    <xf numFmtId="0" fontId="73" fillId="0" borderId="52" xfId="0" applyFont="1" applyFill="1" applyBorder="1" applyAlignment="1" applyProtection="1">
      <alignment horizontal="left" vertical="center"/>
    </xf>
    <xf numFmtId="0" fontId="73" fillId="0" borderId="50" xfId="0" applyFont="1" applyFill="1" applyBorder="1" applyAlignment="1" applyProtection="1">
      <alignment horizontal="left" vertical="center"/>
    </xf>
    <xf numFmtId="2" fontId="12" fillId="0" borderId="48" xfId="0" applyNumberFormat="1" applyFont="1" applyFill="1" applyBorder="1" applyAlignment="1" applyProtection="1">
      <alignment horizontal="center" vertical="top" wrapText="1"/>
    </xf>
    <xf numFmtId="2" fontId="12" fillId="0" borderId="32" xfId="0" applyNumberFormat="1" applyFont="1" applyFill="1" applyBorder="1" applyAlignment="1" applyProtection="1">
      <alignment horizontal="center" vertical="top"/>
    </xf>
    <xf numFmtId="2" fontId="12" fillId="0" borderId="49" xfId="0" applyNumberFormat="1" applyFont="1" applyFill="1" applyBorder="1" applyAlignment="1" applyProtection="1">
      <alignment horizontal="center" vertical="top"/>
    </xf>
    <xf numFmtId="0" fontId="74" fillId="0" borderId="48" xfId="8" applyFont="1" applyFill="1" applyBorder="1" applyAlignment="1" applyProtection="1">
      <alignment horizontal="center" vertical="top" wrapText="1"/>
    </xf>
    <xf numFmtId="0" fontId="74" fillId="0" borderId="49" xfId="8" applyFont="1" applyFill="1" applyBorder="1" applyAlignment="1" applyProtection="1">
      <alignment horizontal="center" vertical="top" wrapText="1"/>
    </xf>
    <xf numFmtId="0" fontId="73" fillId="0" borderId="48" xfId="0" applyFont="1" applyFill="1" applyBorder="1" applyAlignment="1" applyProtection="1">
      <alignment vertical="center" wrapText="1"/>
    </xf>
    <xf numFmtId="0" fontId="39" fillId="0" borderId="52" xfId="0" applyFont="1" applyFill="1" applyBorder="1" applyAlignment="1">
      <alignment vertical="center" wrapText="1"/>
    </xf>
    <xf numFmtId="0" fontId="39" fillId="0" borderId="50" xfId="0" applyFont="1" applyFill="1" applyBorder="1" applyAlignment="1">
      <alignment vertical="center" wrapText="1"/>
    </xf>
    <xf numFmtId="2" fontId="12" fillId="0" borderId="32" xfId="0" applyNumberFormat="1" applyFont="1" applyFill="1" applyBorder="1" applyAlignment="1" applyProtection="1">
      <alignment horizontal="center"/>
    </xf>
    <xf numFmtId="2" fontId="12" fillId="0" borderId="49" xfId="0" applyNumberFormat="1" applyFont="1" applyFill="1" applyBorder="1" applyAlignment="1" applyProtection="1">
      <alignment horizontal="center"/>
    </xf>
    <xf numFmtId="2" fontId="12" fillId="0" borderId="81" xfId="0" applyNumberFormat="1" applyFont="1" applyFill="1" applyBorder="1" applyAlignment="1" applyProtection="1">
      <alignment horizontal="center"/>
    </xf>
    <xf numFmtId="2" fontId="12" fillId="0" borderId="17" xfId="0" applyNumberFormat="1" applyFont="1" applyFill="1" applyBorder="1" applyAlignment="1" applyProtection="1">
      <alignment horizontal="center"/>
    </xf>
    <xf numFmtId="2" fontId="12" fillId="0" borderId="97" xfId="0" applyNumberFormat="1" applyFont="1" applyFill="1" applyBorder="1" applyAlignment="1" applyProtection="1">
      <alignment horizontal="center"/>
    </xf>
    <xf numFmtId="0" fontId="74" fillId="0" borderId="81" xfId="8" applyFont="1" applyFill="1" applyBorder="1" applyAlignment="1" applyProtection="1">
      <alignment horizontal="center" vertical="center" wrapText="1"/>
    </xf>
    <xf numFmtId="0" fontId="74" fillId="0" borderId="97" xfId="8" applyFont="1" applyFill="1" applyBorder="1" applyAlignment="1" applyProtection="1">
      <alignment horizontal="center" vertical="center" wrapText="1"/>
    </xf>
    <xf numFmtId="2" fontId="12" fillId="0" borderId="33" xfId="0" applyNumberFormat="1" applyFont="1" applyFill="1" applyBorder="1" applyAlignment="1" applyProtection="1">
      <alignment horizontal="center"/>
    </xf>
    <xf numFmtId="2" fontId="12" fillId="0" borderId="51" xfId="0" applyNumberFormat="1" applyFont="1" applyFill="1" applyBorder="1" applyAlignment="1" applyProtection="1">
      <alignment horizontal="center"/>
    </xf>
    <xf numFmtId="0" fontId="31"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Fill="1" applyBorder="1" applyAlignment="1">
      <alignment horizontal="center" vertical="center" wrapText="1"/>
    </xf>
    <xf numFmtId="0" fontId="10" fillId="0" borderId="0" xfId="0" applyFont="1" applyBorder="1" applyAlignment="1">
      <alignment horizontal="center" vertical="center" wrapText="1"/>
    </xf>
    <xf numFmtId="0" fontId="0" fillId="0" borderId="0" xfId="0" applyAlignment="1">
      <alignment wrapText="1"/>
    </xf>
    <xf numFmtId="0" fontId="0" fillId="0" borderId="10" xfId="0" applyBorder="1" applyAlignment="1">
      <alignment wrapText="1"/>
    </xf>
    <xf numFmtId="0" fontId="0" fillId="0" borderId="17" xfId="0" applyBorder="1" applyAlignment="1">
      <alignment wrapText="1"/>
    </xf>
    <xf numFmtId="0" fontId="0" fillId="0" borderId="8" xfId="0" applyBorder="1" applyAlignment="1">
      <alignment wrapText="1"/>
    </xf>
    <xf numFmtId="0" fontId="10" fillId="0" borderId="17"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4" fillId="0" borderId="2" xfId="0" applyFont="1" applyBorder="1" applyAlignment="1">
      <alignment horizontal="center"/>
    </xf>
    <xf numFmtId="0" fontId="4" fillId="0" borderId="11" xfId="0" applyFont="1" applyBorder="1" applyAlignment="1">
      <alignment horizontal="center"/>
    </xf>
    <xf numFmtId="0" fontId="4" fillId="0" borderId="3" xfId="0" applyFont="1" applyBorder="1" applyAlignment="1">
      <alignment horizontal="center"/>
    </xf>
    <xf numFmtId="0" fontId="4" fillId="0" borderId="2" xfId="0" applyFont="1" applyFill="1" applyBorder="1" applyAlignment="1">
      <alignment horizontal="center"/>
    </xf>
    <xf numFmtId="0" fontId="4" fillId="0" borderId="11" xfId="0" applyFont="1" applyFill="1" applyBorder="1" applyAlignment="1">
      <alignment horizontal="center"/>
    </xf>
    <xf numFmtId="0" fontId="4" fillId="0" borderId="3" xfId="0" applyFont="1" applyFill="1" applyBorder="1" applyAlignment="1">
      <alignment horizont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12"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7" xfId="0" applyFont="1" applyBorder="1" applyAlignment="1">
      <alignment horizontal="center" vertical="center" wrapText="1"/>
    </xf>
    <xf numFmtId="0" fontId="2" fillId="0" borderId="0"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51" fillId="0" borderId="0" xfId="0" applyFont="1" applyBorder="1" applyAlignment="1">
      <alignment horizontal="center" vertical="center" wrapText="1"/>
    </xf>
    <xf numFmtId="0" fontId="15" fillId="8" borderId="22" xfId="0" applyFont="1" applyFill="1" applyBorder="1" applyAlignment="1">
      <alignment horizontal="center" vertical="center" wrapText="1"/>
    </xf>
    <xf numFmtId="0" fontId="0" fillId="0" borderId="22" xfId="0" applyBorder="1" applyAlignment="1">
      <alignment horizontal="center" vertical="center" wrapText="1"/>
    </xf>
    <xf numFmtId="0" fontId="15"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5" fillId="6" borderId="22" xfId="0" applyFont="1" applyFill="1" applyBorder="1" applyAlignment="1">
      <alignment horizontal="center" vertical="center" wrapText="1"/>
    </xf>
    <xf numFmtId="0" fontId="0" fillId="6" borderId="22" xfId="0" applyFill="1" applyBorder="1" applyAlignment="1">
      <alignment horizontal="center" vertical="center" wrapText="1"/>
    </xf>
    <xf numFmtId="0" fontId="4" fillId="0" borderId="0" xfId="0" applyFont="1" applyAlignment="1">
      <alignment horizontal="left" vertical="center" wrapText="1"/>
    </xf>
  </cellXfs>
  <cellStyles count="9">
    <cellStyle name="Dezimal (2) 2" xfId="3"/>
    <cellStyle name="Komma" xfId="1" builtinId="3"/>
    <cellStyle name="Link" xfId="7" builtinId="8"/>
    <cellStyle name="Schlecht" xfId="8" builtinId="27"/>
    <cellStyle name="Spaltenüberschrift" xfId="6"/>
    <cellStyle name="Standard" xfId="0" builtinId="0"/>
    <cellStyle name="Standard 2" xfId="5"/>
    <cellStyle name="Standard_Grunddatenneu _1" xfId="2"/>
    <cellStyle name="Text" xfId="4"/>
  </cellStyles>
  <dxfs count="0"/>
  <tableStyles count="0" defaultTableStyle="TableStyleMedium2" defaultPivotStyle="PivotStyleLight16"/>
  <colors>
    <mruColors>
      <color rgb="FFFFFFCC"/>
      <color rgb="FF14870B"/>
      <color rgb="FFA98A3D"/>
      <color rgb="FFD0B97E"/>
      <color rgb="FFFAE382"/>
      <color rgb="FFC59EE2"/>
      <color rgb="FFDCC4EE"/>
      <color rgb="FFAC75D5"/>
      <color rgb="FF5F2987"/>
      <color rgb="FF421C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scatterChart>
        <c:scatterStyle val="smoothMarker"/>
        <c:varyColors val="0"/>
        <c:ser>
          <c:idx val="0"/>
          <c:order val="0"/>
          <c:tx>
            <c:strRef>
              <c:f>'Daten Ernteprodukte'!$E$102</c:f>
              <c:strCache>
                <c:ptCount val="1"/>
                <c:pt idx="0">
                  <c:v>% P2O5</c:v>
                </c:pt>
              </c:strCache>
            </c:strRef>
          </c:tx>
          <c:marker>
            <c:symbol val="none"/>
          </c:marker>
          <c:trendline>
            <c:spPr>
              <a:ln>
                <a:solidFill>
                  <a:schemeClr val="accent1"/>
                </a:solidFill>
              </a:ln>
            </c:spPr>
            <c:trendlineType val="poly"/>
            <c:order val="2"/>
            <c:dispRSqr val="0"/>
            <c:dispEq val="1"/>
            <c:trendlineLbl>
              <c:layout>
                <c:manualLayout>
                  <c:x val="3.2078110236220474E-2"/>
                  <c:y val="-4.4977802009829967E-2"/>
                </c:manualLayout>
              </c:layout>
              <c:numFmt formatCode="General" sourceLinked="0"/>
              <c:txPr>
                <a:bodyPr/>
                <a:lstStyle/>
                <a:p>
                  <a:pPr>
                    <a:defRPr>
                      <a:solidFill>
                        <a:schemeClr val="accent5"/>
                      </a:solidFill>
                    </a:defRPr>
                  </a:pPr>
                  <a:endParaRPr lang="de-DE"/>
                </a:p>
              </c:txPr>
            </c:trendlineLbl>
          </c:trendline>
          <c:xVal>
            <c:numRef>
              <c:f>'Daten Ernteprodukte'!$D$103:$D$108</c:f>
              <c:numCache>
                <c:formatCode>General</c:formatCode>
                <c:ptCount val="6"/>
                <c:pt idx="0">
                  <c:v>3.2</c:v>
                </c:pt>
                <c:pt idx="1">
                  <c:v>3</c:v>
                </c:pt>
                <c:pt idx="2">
                  <c:v>2.5</c:v>
                </c:pt>
                <c:pt idx="3">
                  <c:v>2</c:v>
                </c:pt>
                <c:pt idx="4">
                  <c:v>1.5</c:v>
                </c:pt>
                <c:pt idx="5">
                  <c:v>1</c:v>
                </c:pt>
              </c:numCache>
            </c:numRef>
          </c:xVal>
          <c:yVal>
            <c:numRef>
              <c:f>'Daten Ernteprodukte'!$E$103:$E$108</c:f>
              <c:numCache>
                <c:formatCode>General</c:formatCode>
                <c:ptCount val="6"/>
                <c:pt idx="0">
                  <c:v>0.96</c:v>
                </c:pt>
                <c:pt idx="1">
                  <c:v>0.95</c:v>
                </c:pt>
                <c:pt idx="2">
                  <c:v>0.9</c:v>
                </c:pt>
                <c:pt idx="3">
                  <c:v>0.82</c:v>
                </c:pt>
                <c:pt idx="4">
                  <c:v>0.71</c:v>
                </c:pt>
                <c:pt idx="5">
                  <c:v>0.56999999999999995</c:v>
                </c:pt>
              </c:numCache>
            </c:numRef>
          </c:yVal>
          <c:smooth val="1"/>
        </c:ser>
        <c:ser>
          <c:idx val="1"/>
          <c:order val="1"/>
          <c:tx>
            <c:strRef>
              <c:f>'Daten Ernteprodukte'!$F$102</c:f>
              <c:strCache>
                <c:ptCount val="1"/>
                <c:pt idx="0">
                  <c:v>% K2O</c:v>
                </c:pt>
              </c:strCache>
            </c:strRef>
          </c:tx>
          <c:marker>
            <c:symbol val="none"/>
          </c:marker>
          <c:trendline>
            <c:trendlineType val="poly"/>
            <c:order val="2"/>
            <c:dispRSqr val="0"/>
            <c:dispEq val="1"/>
            <c:trendlineLbl>
              <c:layout>
                <c:manualLayout>
                  <c:x val="2.361448818897638E-3"/>
                  <c:y val="-2.6095311897222442E-2"/>
                </c:manualLayout>
              </c:layout>
              <c:numFmt formatCode="#,##0.00" sourceLinked="0"/>
            </c:trendlineLbl>
          </c:trendline>
          <c:xVal>
            <c:numRef>
              <c:f>'Daten Ernteprodukte'!$D$103:$D$108</c:f>
              <c:numCache>
                <c:formatCode>General</c:formatCode>
                <c:ptCount val="6"/>
                <c:pt idx="0">
                  <c:v>3.2</c:v>
                </c:pt>
                <c:pt idx="1">
                  <c:v>3</c:v>
                </c:pt>
                <c:pt idx="2">
                  <c:v>2.5</c:v>
                </c:pt>
                <c:pt idx="3">
                  <c:v>2</c:v>
                </c:pt>
                <c:pt idx="4">
                  <c:v>1.5</c:v>
                </c:pt>
                <c:pt idx="5">
                  <c:v>1</c:v>
                </c:pt>
              </c:numCache>
            </c:numRef>
          </c:xVal>
          <c:yVal>
            <c:numRef>
              <c:f>'Daten Ernteprodukte'!$F$103:$F$108</c:f>
              <c:numCache>
                <c:formatCode>0.00</c:formatCode>
                <c:ptCount val="6"/>
                <c:pt idx="0">
                  <c:v>3</c:v>
                </c:pt>
                <c:pt idx="1">
                  <c:v>3</c:v>
                </c:pt>
                <c:pt idx="2">
                  <c:v>2.8</c:v>
                </c:pt>
                <c:pt idx="3">
                  <c:v>2.5</c:v>
                </c:pt>
                <c:pt idx="4">
                  <c:v>2.1</c:v>
                </c:pt>
                <c:pt idx="5">
                  <c:v>1.6</c:v>
                </c:pt>
              </c:numCache>
            </c:numRef>
          </c:yVal>
          <c:smooth val="1"/>
        </c:ser>
        <c:dLbls>
          <c:showLegendKey val="0"/>
          <c:showVal val="0"/>
          <c:showCatName val="0"/>
          <c:showSerName val="0"/>
          <c:showPercent val="0"/>
          <c:showBubbleSize val="0"/>
        </c:dLbls>
        <c:axId val="653055432"/>
        <c:axId val="653055040"/>
      </c:scatterChart>
      <c:valAx>
        <c:axId val="653055432"/>
        <c:scaling>
          <c:orientation val="minMax"/>
        </c:scaling>
        <c:delete val="0"/>
        <c:axPos val="b"/>
        <c:title>
          <c:tx>
            <c:rich>
              <a:bodyPr/>
              <a:lstStyle/>
              <a:p>
                <a:pPr>
                  <a:defRPr/>
                </a:pPr>
                <a:r>
                  <a:rPr lang="en-US"/>
                  <a:t>% N</a:t>
                </a:r>
              </a:p>
            </c:rich>
          </c:tx>
          <c:overlay val="0"/>
        </c:title>
        <c:numFmt formatCode="General" sourceLinked="1"/>
        <c:majorTickMark val="out"/>
        <c:minorTickMark val="none"/>
        <c:tickLblPos val="nextTo"/>
        <c:crossAx val="653055040"/>
        <c:crosses val="autoZero"/>
        <c:crossBetween val="midCat"/>
      </c:valAx>
      <c:valAx>
        <c:axId val="653055040"/>
        <c:scaling>
          <c:orientation val="minMax"/>
        </c:scaling>
        <c:delete val="0"/>
        <c:axPos val="l"/>
        <c:majorGridlines/>
        <c:numFmt formatCode="General" sourceLinked="1"/>
        <c:majorTickMark val="out"/>
        <c:minorTickMark val="none"/>
        <c:tickLblPos val="nextTo"/>
        <c:crossAx val="653055432"/>
        <c:crosses val="autoZero"/>
        <c:crossBetween val="midCat"/>
      </c:valAx>
    </c:plotArea>
    <c:legend>
      <c:legendPos val="r"/>
      <c:legendEntry>
        <c:idx val="2"/>
        <c:delete val="1"/>
      </c:legendEntry>
      <c:legendEntry>
        <c:idx val="3"/>
        <c:delete val="1"/>
      </c:legendEntry>
      <c:overlay val="0"/>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609600</xdr:colOff>
      <xdr:row>0</xdr:row>
      <xdr:rowOff>114300</xdr:rowOff>
    </xdr:from>
    <xdr:to>
      <xdr:col>6</xdr:col>
      <xdr:colOff>601193</xdr:colOff>
      <xdr:row>4</xdr:row>
      <xdr:rowOff>12193</xdr:rowOff>
    </xdr:to>
    <xdr:pic>
      <xdr:nvPicPr>
        <xdr:cNvPr id="5" name="Grafik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39225" y="114300"/>
          <a:ext cx="2242668" cy="850393"/>
        </a:xfrm>
        <a:prstGeom prst="rect">
          <a:avLst/>
        </a:prstGeom>
      </xdr:spPr>
    </xdr:pic>
    <xdr:clientData/>
  </xdr:twoCellAnchor>
  <xdr:twoCellAnchor editAs="oneCell">
    <xdr:from>
      <xdr:col>1</xdr:col>
      <xdr:colOff>742949</xdr:colOff>
      <xdr:row>65</xdr:row>
      <xdr:rowOff>35457</xdr:rowOff>
    </xdr:from>
    <xdr:to>
      <xdr:col>2</xdr:col>
      <xdr:colOff>990600</xdr:colOff>
      <xdr:row>71</xdr:row>
      <xdr:rowOff>133785</xdr:rowOff>
    </xdr:to>
    <xdr:pic>
      <xdr:nvPicPr>
        <xdr:cNvPr id="2" name="Grafik 1"/>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13000"/>
                  </a14:imgEffect>
                  <a14:imgEffect>
                    <a14:brightnessContrast contrast="50000"/>
                  </a14:imgEffect>
                </a14:imgLayer>
              </a14:imgProps>
            </a:ext>
            <a:ext uri="{28A0092B-C50C-407E-A947-70E740481C1C}">
              <a14:useLocalDpi xmlns:a14="http://schemas.microsoft.com/office/drawing/2010/main" val="0"/>
            </a:ext>
          </a:extLst>
        </a:blip>
        <a:stretch>
          <a:fillRect/>
        </a:stretch>
      </xdr:blipFill>
      <xdr:spPr>
        <a:xfrm>
          <a:off x="952499" y="11913132"/>
          <a:ext cx="3143251" cy="1355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31750</xdr:colOff>
      <xdr:row>100</xdr:row>
      <xdr:rowOff>148166</xdr:rowOff>
    </xdr:from>
    <xdr:to>
      <xdr:col>1</xdr:col>
      <xdr:colOff>3511549</xdr:colOff>
      <xdr:row>113</xdr:row>
      <xdr:rowOff>48683</xdr:rowOff>
    </xdr:to>
    <xdr:graphicFrame macro="">
      <xdr:nvGraphicFramePr>
        <xdr:cNvPr id="6" name="Diagram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21</xdr:row>
      <xdr:rowOff>0</xdr:rowOff>
    </xdr:from>
    <xdr:to>
      <xdr:col>3</xdr:col>
      <xdr:colOff>76200</xdr:colOff>
      <xdr:row>22</xdr:row>
      <xdr:rowOff>19049</xdr:rowOff>
    </xdr:to>
    <xdr:sp macro="" textlink="">
      <xdr:nvSpPr>
        <xdr:cNvPr id="2" name="Text Box 1"/>
        <xdr:cNvSpPr txBox="1">
          <a:spLocks noChangeArrowheads="1"/>
        </xdr:cNvSpPr>
      </xdr:nvSpPr>
      <xdr:spPr bwMode="auto">
        <a:xfrm>
          <a:off x="6048375" y="4210050"/>
          <a:ext cx="76200" cy="2095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christin.alzer@dlr.rlp.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2.bin"/><Relationship Id="rId1" Type="http://schemas.openxmlformats.org/officeDocument/2006/relationships/hyperlink" Target="http://gis.uba.de/website/depo1/" TargetMode="External"/><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vorname.nachname@dlr.rlp.de" TargetMode="External"/><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theme="0"/>
    <pageSetUpPr fitToPage="1"/>
  </sheetPr>
  <dimension ref="A1:H101"/>
  <sheetViews>
    <sheetView tabSelected="1" zoomScaleNormal="100" workbookViewId="0">
      <selection activeCell="J8" sqref="J8"/>
    </sheetView>
  </sheetViews>
  <sheetFormatPr baseColWidth="10" defaultRowHeight="16.5" customHeight="1"/>
  <cols>
    <col min="1" max="1" width="3.140625" customWidth="1"/>
    <col min="2" max="2" width="43.42578125" customWidth="1"/>
    <col min="3" max="3" width="38.85546875" customWidth="1"/>
    <col min="4" max="4" width="8" customWidth="1"/>
    <col min="5" max="6" width="33.7109375" customWidth="1"/>
    <col min="7" max="7" width="11.5703125" customWidth="1"/>
    <col min="8" max="8" width="9.140625" customWidth="1"/>
  </cols>
  <sheetData>
    <row r="1" spans="2:8" ht="13.5" customHeight="1"/>
    <row r="2" spans="2:8" ht="35.25" customHeight="1" thickBot="1">
      <c r="B2" s="592" t="s">
        <v>1465</v>
      </c>
    </row>
    <row r="3" spans="2:8" ht="16.5" customHeight="1" thickBot="1">
      <c r="B3" s="863" t="s">
        <v>1464</v>
      </c>
      <c r="C3" s="107"/>
      <c r="D3" s="107"/>
    </row>
    <row r="4" spans="2:8" ht="9.75" customHeight="1"/>
    <row r="5" spans="2:8" ht="16.5" customHeight="1">
      <c r="B5" s="864" t="s">
        <v>1145</v>
      </c>
    </row>
    <row r="6" spans="2:8" ht="5.25" customHeight="1"/>
    <row r="7" spans="2:8" ht="16.5" customHeight="1">
      <c r="B7" s="1138" t="s">
        <v>1242</v>
      </c>
      <c r="C7" s="1138"/>
      <c r="D7" s="1138"/>
      <c r="E7" s="1138"/>
      <c r="F7" s="1138"/>
      <c r="G7" s="1138"/>
      <c r="H7" s="1138"/>
    </row>
    <row r="8" spans="2:8" ht="16.5" customHeight="1">
      <c r="B8" s="1138"/>
      <c r="C8" s="1138"/>
      <c r="D8" s="1138"/>
      <c r="E8" s="1138"/>
      <c r="F8" s="1138"/>
      <c r="G8" s="1138"/>
      <c r="H8" s="1138"/>
    </row>
    <row r="9" spans="2:8" ht="13.5" customHeight="1">
      <c r="B9" s="1138"/>
      <c r="C9" s="1138"/>
      <c r="D9" s="1138"/>
      <c r="E9" s="1138"/>
      <c r="F9" s="1138"/>
      <c r="G9" s="1138"/>
      <c r="H9" s="1138"/>
    </row>
    <row r="10" spans="2:8" ht="5.25" customHeight="1"/>
    <row r="11" spans="2:8" ht="16.5" customHeight="1">
      <c r="B11" s="1138" t="s">
        <v>1207</v>
      </c>
      <c r="C11" s="1139"/>
      <c r="D11" s="1139"/>
      <c r="E11" s="1139"/>
      <c r="F11" s="1139"/>
      <c r="G11" s="1139"/>
      <c r="H11" s="1139"/>
    </row>
    <row r="12" spans="2:8" ht="16.5" customHeight="1">
      <c r="B12" s="1139"/>
      <c r="C12" s="1139"/>
      <c r="D12" s="1139"/>
      <c r="E12" s="1139"/>
      <c r="F12" s="1139"/>
      <c r="G12" s="1139"/>
      <c r="H12" s="1139"/>
    </row>
    <row r="13" spans="2:8" ht="5.25" customHeight="1"/>
    <row r="14" spans="2:8" ht="16.5" customHeight="1">
      <c r="B14" s="1138" t="s">
        <v>1212</v>
      </c>
      <c r="C14" s="1138"/>
      <c r="D14" s="1138"/>
      <c r="E14" s="1138"/>
      <c r="F14" s="1138"/>
      <c r="G14" s="1138"/>
      <c r="H14" s="1138"/>
    </row>
    <row r="15" spans="2:8" ht="16.5" customHeight="1">
      <c r="B15" s="1138"/>
      <c r="C15" s="1138"/>
      <c r="D15" s="1138"/>
      <c r="E15" s="1138"/>
      <c r="F15" s="1138"/>
      <c r="G15" s="1138"/>
      <c r="H15" s="1138"/>
    </row>
    <row r="16" spans="2:8" ht="6.75" customHeight="1">
      <c r="B16" s="1138"/>
      <c r="C16" s="1138"/>
      <c r="D16" s="1138"/>
      <c r="E16" s="1138"/>
      <c r="F16" s="1138"/>
      <c r="G16" s="1138"/>
      <c r="H16" s="1138"/>
    </row>
    <row r="17" spans="2:8" ht="5.25" customHeight="1">
      <c r="B17" s="527"/>
      <c r="C17" s="527"/>
      <c r="D17" s="542"/>
      <c r="E17" s="527"/>
      <c r="F17" s="527"/>
      <c r="G17" s="527"/>
      <c r="H17" s="527"/>
    </row>
    <row r="18" spans="2:8" ht="16.5" customHeight="1">
      <c r="B18" s="1143" t="s">
        <v>1225</v>
      </c>
      <c r="C18" s="1138"/>
      <c r="D18" s="1138"/>
      <c r="E18" s="1138"/>
      <c r="F18" s="1138"/>
      <c r="G18" s="1138"/>
      <c r="H18" s="1138"/>
    </row>
    <row r="19" spans="2:8" ht="16.5" customHeight="1">
      <c r="B19" s="1138"/>
      <c r="C19" s="1138"/>
      <c r="D19" s="1138"/>
      <c r="E19" s="1138"/>
      <c r="F19" s="1138"/>
      <c r="G19" s="1138"/>
      <c r="H19" s="1138"/>
    </row>
    <row r="20" spans="2:8" ht="5.25" customHeight="1">
      <c r="B20" s="549"/>
      <c r="C20" s="549"/>
      <c r="D20" s="549"/>
      <c r="E20" s="549"/>
      <c r="F20" s="549"/>
      <c r="G20" s="549"/>
      <c r="H20" s="549"/>
    </row>
    <row r="21" spans="2:8" ht="16.5" customHeight="1">
      <c r="B21" s="1138" t="s">
        <v>1455</v>
      </c>
      <c r="C21" s="1139"/>
      <c r="D21" s="1139"/>
      <c r="E21" s="1139"/>
      <c r="F21" s="1139"/>
      <c r="G21" s="1139"/>
      <c r="H21" s="1139"/>
    </row>
    <row r="22" spans="2:8" ht="16.5" customHeight="1">
      <c r="B22" s="1138"/>
      <c r="C22" s="1139"/>
      <c r="D22" s="1139"/>
      <c r="E22" s="1139"/>
      <c r="F22" s="1139"/>
      <c r="G22" s="1139"/>
      <c r="H22" s="1139"/>
    </row>
    <row r="23" spans="2:8" ht="16.5" customHeight="1">
      <c r="B23" s="1139"/>
      <c r="C23" s="1139"/>
      <c r="D23" s="1139"/>
      <c r="E23" s="1139"/>
      <c r="F23" s="1139"/>
      <c r="G23" s="1139"/>
      <c r="H23" s="1139"/>
    </row>
    <row r="24" spans="2:8" ht="5.25" customHeight="1">
      <c r="B24" s="596"/>
      <c r="C24" s="596"/>
      <c r="D24" s="596"/>
      <c r="E24" s="596"/>
      <c r="F24" s="596"/>
      <c r="G24" s="596"/>
      <c r="H24" s="596"/>
    </row>
    <row r="25" spans="2:8" ht="18" customHeight="1">
      <c r="B25" s="1138" t="s">
        <v>1453</v>
      </c>
      <c r="C25" s="1139"/>
      <c r="D25" s="1139"/>
      <c r="E25" s="1139"/>
      <c r="F25" s="1139"/>
      <c r="G25" s="1139"/>
      <c r="H25" s="1139"/>
    </row>
    <row r="26" spans="2:8" ht="12.75" customHeight="1">
      <c r="B26" s="1138"/>
      <c r="C26" s="1139"/>
      <c r="D26" s="1139"/>
      <c r="E26" s="1139"/>
      <c r="F26" s="1139"/>
      <c r="G26" s="1139"/>
      <c r="H26" s="1139"/>
    </row>
    <row r="27" spans="2:8" ht="18.75" customHeight="1">
      <c r="B27" s="1139"/>
      <c r="C27" s="1139"/>
      <c r="D27" s="1139"/>
      <c r="E27" s="1139"/>
      <c r="F27" s="1139"/>
      <c r="G27" s="1139"/>
      <c r="H27" s="1139"/>
    </row>
    <row r="28" spans="2:8" ht="5.25" customHeight="1">
      <c r="B28" s="550"/>
      <c r="C28" s="550"/>
      <c r="D28" s="550"/>
      <c r="E28" s="550"/>
      <c r="F28" s="550"/>
      <c r="G28" s="550"/>
      <c r="H28" s="550"/>
    </row>
    <row r="29" spans="2:8" ht="16.5" customHeight="1">
      <c r="B29" s="1138" t="s">
        <v>1162</v>
      </c>
      <c r="C29" s="1138"/>
      <c r="D29" s="1138"/>
      <c r="E29" s="1138"/>
      <c r="F29" s="1138"/>
      <c r="G29" s="1138"/>
      <c r="H29" s="1138"/>
    </row>
    <row r="30" spans="2:8" ht="16.5" customHeight="1">
      <c r="B30" s="1138"/>
      <c r="C30" s="1138"/>
      <c r="D30" s="1138"/>
      <c r="E30" s="1138"/>
      <c r="F30" s="1138"/>
      <c r="G30" s="1138"/>
      <c r="H30" s="1138"/>
    </row>
    <row r="31" spans="2:8" ht="16.5" customHeight="1">
      <c r="B31" s="1138"/>
      <c r="C31" s="1138"/>
      <c r="D31" s="1138"/>
      <c r="E31" s="1138"/>
      <c r="F31" s="1138"/>
      <c r="G31" s="1138"/>
      <c r="H31" s="1138"/>
    </row>
    <row r="32" spans="2:8" ht="16.5" customHeight="1">
      <c r="B32" s="1138"/>
      <c r="C32" s="1138"/>
      <c r="D32" s="1138"/>
      <c r="E32" s="1138"/>
      <c r="F32" s="1138"/>
      <c r="G32" s="1138"/>
      <c r="H32" s="1138"/>
    </row>
    <row r="33" spans="2:8" ht="16.5" customHeight="1">
      <c r="B33" s="1138"/>
      <c r="C33" s="1138"/>
      <c r="D33" s="1138"/>
      <c r="E33" s="1138"/>
      <c r="F33" s="1138"/>
      <c r="G33" s="1138"/>
      <c r="H33" s="1138"/>
    </row>
    <row r="34" spans="2:8" ht="5.25" customHeight="1">
      <c r="B34" s="527"/>
      <c r="C34" s="527"/>
      <c r="D34" s="542"/>
      <c r="E34" s="527"/>
      <c r="F34" s="527"/>
      <c r="G34" s="527"/>
      <c r="H34" s="527"/>
    </row>
    <row r="35" spans="2:8" ht="16.5" customHeight="1">
      <c r="B35" s="1138" t="s">
        <v>1210</v>
      </c>
      <c r="C35" s="1138"/>
      <c r="D35" s="1138"/>
      <c r="E35" s="1138"/>
      <c r="F35" s="1138"/>
      <c r="G35" s="1138"/>
      <c r="H35" s="1138"/>
    </row>
    <row r="36" spans="2:8" ht="16.5" customHeight="1">
      <c r="B36" s="1138"/>
      <c r="C36" s="1138"/>
      <c r="D36" s="1138"/>
      <c r="E36" s="1138"/>
      <c r="F36" s="1138"/>
      <c r="G36" s="1138"/>
      <c r="H36" s="1138"/>
    </row>
    <row r="37" spans="2:8" ht="16.5" customHeight="1">
      <c r="B37" s="1138"/>
      <c r="C37" s="1138"/>
      <c r="D37" s="1138"/>
      <c r="E37" s="1138"/>
      <c r="F37" s="1138"/>
      <c r="G37" s="1138"/>
      <c r="H37" s="1138"/>
    </row>
    <row r="38" spans="2:8" ht="16.5" customHeight="1">
      <c r="B38" s="1138"/>
      <c r="C38" s="1138"/>
      <c r="D38" s="1138"/>
      <c r="E38" s="1138"/>
      <c r="F38" s="1138"/>
      <c r="G38" s="1138"/>
      <c r="H38" s="1138"/>
    </row>
    <row r="39" spans="2:8" ht="16.5" customHeight="1">
      <c r="B39" s="1138"/>
      <c r="C39" s="1138"/>
      <c r="D39" s="1138"/>
      <c r="E39" s="1138"/>
      <c r="F39" s="1138"/>
      <c r="G39" s="1138"/>
      <c r="H39" s="1138"/>
    </row>
    <row r="40" spans="2:8" ht="16.5" customHeight="1">
      <c r="B40" s="1138"/>
      <c r="C40" s="1138"/>
      <c r="D40" s="1138"/>
      <c r="E40" s="1138"/>
      <c r="F40" s="1138"/>
      <c r="G40" s="1138"/>
      <c r="H40" s="1138"/>
    </row>
    <row r="41" spans="2:8" ht="16.5" customHeight="1">
      <c r="B41" s="1138"/>
      <c r="C41" s="1138"/>
      <c r="D41" s="1138"/>
      <c r="E41" s="1138"/>
      <c r="F41" s="1138"/>
      <c r="G41" s="1138"/>
      <c r="H41" s="1138"/>
    </row>
    <row r="42" spans="2:8" ht="16.5" customHeight="1">
      <c r="B42" s="1138"/>
      <c r="C42" s="1138"/>
      <c r="D42" s="1138"/>
      <c r="E42" s="1138"/>
      <c r="F42" s="1138"/>
      <c r="G42" s="1138"/>
      <c r="H42" s="1138"/>
    </row>
    <row r="43" spans="2:8" ht="5.25" customHeight="1">
      <c r="B43" s="1138"/>
      <c r="C43" s="1138"/>
      <c r="D43" s="1138"/>
      <c r="E43" s="1138"/>
      <c r="F43" s="1138"/>
      <c r="G43" s="1138"/>
      <c r="H43" s="1138"/>
    </row>
    <row r="44" spans="2:8" ht="16.5" hidden="1" customHeight="1">
      <c r="B44" s="1138"/>
      <c r="C44" s="1138"/>
      <c r="D44" s="1138"/>
      <c r="E44" s="1138"/>
      <c r="F44" s="1138"/>
      <c r="G44" s="1138"/>
      <c r="H44" s="1138"/>
    </row>
    <row r="45" spans="2:8" ht="5.25" customHeight="1"/>
    <row r="46" spans="2:8" ht="16.5" customHeight="1">
      <c r="B46" s="1143" t="s">
        <v>1211</v>
      </c>
      <c r="C46" s="1143"/>
      <c r="D46" s="1143"/>
      <c r="E46" s="1143"/>
      <c r="F46" s="1143"/>
      <c r="G46" s="1143"/>
      <c r="H46" s="1143"/>
    </row>
    <row r="47" spans="2:8" ht="16.5" customHeight="1">
      <c r="B47" s="1143"/>
      <c r="C47" s="1143"/>
      <c r="D47" s="1143"/>
      <c r="E47" s="1143"/>
      <c r="F47" s="1143"/>
      <c r="G47" s="1143"/>
      <c r="H47" s="1143"/>
    </row>
    <row r="48" spans="2:8" ht="16.5" customHeight="1">
      <c r="B48" s="1143"/>
      <c r="C48" s="1143"/>
      <c r="D48" s="1143"/>
      <c r="E48" s="1143"/>
      <c r="F48" s="1143"/>
      <c r="G48" s="1143"/>
      <c r="H48" s="1143"/>
    </row>
    <row r="49" spans="2:8" ht="16.5" customHeight="1">
      <c r="B49" s="1143"/>
      <c r="C49" s="1143"/>
      <c r="D49" s="1143"/>
      <c r="E49" s="1143"/>
      <c r="F49" s="1143"/>
      <c r="G49" s="1143"/>
      <c r="H49" s="1143"/>
    </row>
    <row r="50" spans="2:8" ht="7.5" customHeight="1">
      <c r="B50" s="1143"/>
      <c r="C50" s="1143"/>
      <c r="D50" s="1143"/>
      <c r="E50" s="1143"/>
      <c r="F50" s="1143"/>
      <c r="G50" s="1143"/>
      <c r="H50" s="1143"/>
    </row>
    <row r="51" spans="2:8" ht="16.5" hidden="1" customHeight="1">
      <c r="B51" s="1143"/>
      <c r="C51" s="1143"/>
      <c r="D51" s="1143"/>
      <c r="E51" s="1143"/>
      <c r="F51" s="1143"/>
      <c r="G51" s="1143"/>
      <c r="H51" s="1143"/>
    </row>
    <row r="52" spans="2:8" ht="5.25" customHeight="1"/>
    <row r="53" spans="2:8" ht="16.5" customHeight="1">
      <c r="B53" s="1138" t="s">
        <v>1172</v>
      </c>
      <c r="C53" s="1138"/>
      <c r="D53" s="1138"/>
      <c r="E53" s="1138"/>
      <c r="F53" s="1138"/>
      <c r="G53" s="1138"/>
      <c r="H53" s="1138"/>
    </row>
    <row r="54" spans="2:8" ht="16.5" customHeight="1">
      <c r="B54" s="1138"/>
      <c r="C54" s="1138"/>
      <c r="D54" s="1138"/>
      <c r="E54" s="1138"/>
      <c r="F54" s="1138"/>
      <c r="G54" s="1138"/>
      <c r="H54" s="1138"/>
    </row>
    <row r="55" spans="2:8" ht="16.5" customHeight="1">
      <c r="B55" s="1138"/>
      <c r="C55" s="1138"/>
      <c r="D55" s="1138"/>
      <c r="E55" s="1138"/>
      <c r="F55" s="1138"/>
      <c r="G55" s="1138"/>
      <c r="H55" s="1138"/>
    </row>
    <row r="56" spans="2:8" ht="5.25" customHeight="1"/>
    <row r="57" spans="2:8" ht="16.5" customHeight="1">
      <c r="B57" s="1138" t="s">
        <v>1213</v>
      </c>
      <c r="C57" s="1138"/>
      <c r="D57" s="1138"/>
      <c r="E57" s="1138"/>
      <c r="F57" s="1138"/>
      <c r="G57" s="1138"/>
      <c r="H57" s="1138"/>
    </row>
    <row r="58" spans="2:8" ht="16.5" customHeight="1">
      <c r="B58" s="1138"/>
      <c r="C58" s="1138"/>
      <c r="D58" s="1138"/>
      <c r="E58" s="1138"/>
      <c r="F58" s="1138"/>
      <c r="G58" s="1138"/>
      <c r="H58" s="1138"/>
    </row>
    <row r="59" spans="2:8" ht="16.5" customHeight="1">
      <c r="B59" s="1138"/>
      <c r="C59" s="1138"/>
      <c r="D59" s="1138"/>
      <c r="E59" s="1138"/>
      <c r="F59" s="1138"/>
      <c r="G59" s="1138"/>
      <c r="H59" s="1138"/>
    </row>
    <row r="60" spans="2:8" ht="16.5" customHeight="1">
      <c r="B60" s="1138"/>
      <c r="C60" s="1138"/>
      <c r="D60" s="1138"/>
      <c r="E60" s="1138"/>
      <c r="F60" s="1138"/>
      <c r="G60" s="1138"/>
      <c r="H60" s="1138"/>
    </row>
    <row r="61" spans="2:8" ht="5.25" customHeight="1"/>
    <row r="62" spans="2:8" ht="16.5" customHeight="1">
      <c r="B62" s="1144" t="s">
        <v>578</v>
      </c>
      <c r="C62" s="1144"/>
      <c r="D62" s="1144"/>
      <c r="E62" s="1144"/>
      <c r="F62" s="1144"/>
      <c r="G62" s="1144"/>
      <c r="H62" s="1144"/>
    </row>
    <row r="63" spans="2:8" ht="5.25" customHeight="1"/>
    <row r="64" spans="2:8" ht="16.5" customHeight="1">
      <c r="B64" s="1135" t="s">
        <v>164</v>
      </c>
      <c r="C64" s="1135"/>
      <c r="D64" s="1135"/>
      <c r="E64" s="1135"/>
      <c r="F64" s="1135"/>
      <c r="G64" s="542"/>
      <c r="H64" s="11"/>
    </row>
    <row r="65" spans="2:8" ht="16.5" customHeight="1">
      <c r="B65" s="400" t="s">
        <v>165</v>
      </c>
      <c r="C65" s="1135" t="s">
        <v>516</v>
      </c>
      <c r="D65" s="1135"/>
      <c r="E65" s="1135"/>
      <c r="F65" s="1135"/>
      <c r="G65" s="1135"/>
      <c r="H65" s="1136"/>
    </row>
    <row r="66" spans="2:8" ht="16.5" customHeight="1">
      <c r="B66" s="875" t="s">
        <v>1155</v>
      </c>
      <c r="C66" s="871"/>
      <c r="D66" s="1140" t="s">
        <v>1241</v>
      </c>
      <c r="E66" s="1141"/>
      <c r="F66" s="1142"/>
      <c r="G66" s="871"/>
      <c r="H66" s="872"/>
    </row>
    <row r="67" spans="2:8" ht="16.5" customHeight="1">
      <c r="B67" s="874"/>
      <c r="C67" s="871"/>
      <c r="D67" s="1141"/>
      <c r="E67" s="1141"/>
      <c r="F67" s="1142"/>
      <c r="G67" s="871"/>
      <c r="H67" s="872"/>
    </row>
    <row r="68" spans="2:8" ht="16.5" customHeight="1">
      <c r="B68" s="874"/>
      <c r="C68" s="871"/>
      <c r="D68" s="1141"/>
      <c r="E68" s="1141"/>
      <c r="F68" s="1142"/>
      <c r="G68" s="871"/>
      <c r="H68" s="872"/>
    </row>
    <row r="69" spans="2:8" ht="16.5" customHeight="1">
      <c r="B69" s="874"/>
      <c r="C69" s="871"/>
      <c r="D69" s="1141"/>
      <c r="E69" s="1141"/>
      <c r="F69" s="1142"/>
      <c r="G69" s="871"/>
      <c r="H69" s="872"/>
    </row>
    <row r="70" spans="2:8" ht="16.5" customHeight="1">
      <c r="B70" s="874"/>
      <c r="C70" s="871"/>
      <c r="D70" s="1141"/>
      <c r="E70" s="1141"/>
      <c r="F70" s="1142"/>
      <c r="G70" s="871"/>
      <c r="H70" s="872"/>
    </row>
    <row r="71" spans="2:8" ht="16.5" customHeight="1">
      <c r="B71" s="874"/>
      <c r="C71" s="871"/>
      <c r="D71" s="1141"/>
      <c r="E71" s="1141"/>
      <c r="F71" s="1142"/>
      <c r="G71" s="871"/>
      <c r="H71" s="872"/>
    </row>
    <row r="72" spans="2:8" ht="16.5" customHeight="1">
      <c r="B72" s="874"/>
      <c r="C72" s="871"/>
      <c r="D72" s="871"/>
      <c r="E72" s="871"/>
      <c r="F72" s="871"/>
      <c r="G72" s="871"/>
      <c r="H72" s="872"/>
    </row>
    <row r="73" spans="2:8" ht="16.5" customHeight="1">
      <c r="B73" s="401" t="s">
        <v>166</v>
      </c>
      <c r="C73" s="1135" t="s">
        <v>517</v>
      </c>
      <c r="D73" s="1135"/>
      <c r="E73" s="1135"/>
      <c r="F73" s="1135"/>
      <c r="G73" s="1135"/>
      <c r="H73" s="1136"/>
    </row>
    <row r="74" spans="2:8" ht="5.25" customHeight="1">
      <c r="B74" s="1137"/>
      <c r="C74" s="1137"/>
      <c r="D74" s="1137"/>
      <c r="E74" s="1137"/>
      <c r="F74" s="1137"/>
      <c r="G74" s="1137"/>
      <c r="H74" s="1137"/>
    </row>
    <row r="75" spans="2:8" ht="16.5" customHeight="1">
      <c r="B75" s="1137" t="s">
        <v>978</v>
      </c>
      <c r="C75" s="1137"/>
      <c r="D75" s="1137"/>
      <c r="E75" s="1137"/>
      <c r="F75" s="1137"/>
      <c r="G75" s="1137"/>
      <c r="H75" s="1137"/>
    </row>
    <row r="76" spans="2:8" ht="5.25" customHeight="1" thickBot="1">
      <c r="B76" s="88"/>
      <c r="C76" s="87"/>
      <c r="D76" s="87"/>
      <c r="E76" s="87"/>
      <c r="F76" s="87"/>
      <c r="G76" s="87"/>
    </row>
    <row r="77" spans="2:8" ht="16.5" customHeight="1">
      <c r="B77" s="1131" t="s">
        <v>530</v>
      </c>
      <c r="C77" s="1132"/>
      <c r="D77" s="562"/>
      <c r="G77" s="107"/>
    </row>
    <row r="78" spans="2:8" ht="16.5" customHeight="1" thickBot="1">
      <c r="B78" s="1133" t="s">
        <v>531</v>
      </c>
      <c r="C78" s="1134"/>
      <c r="D78" s="563"/>
      <c r="G78" s="107"/>
    </row>
    <row r="79" spans="2:8" ht="16.5" customHeight="1">
      <c r="B79" s="1147" t="s">
        <v>389</v>
      </c>
      <c r="C79" s="1149" t="s">
        <v>390</v>
      </c>
      <c r="D79" s="562"/>
      <c r="G79" s="87"/>
    </row>
    <row r="80" spans="2:8" ht="16.5" customHeight="1">
      <c r="B80" s="1148"/>
      <c r="C80" s="1150"/>
      <c r="D80" s="562"/>
      <c r="G80" s="87"/>
    </row>
    <row r="81" spans="1:8" ht="16.5" customHeight="1">
      <c r="B81" s="670" t="s">
        <v>982</v>
      </c>
      <c r="C81" s="667" t="s">
        <v>391</v>
      </c>
      <c r="D81" s="354"/>
      <c r="G81" s="87"/>
    </row>
    <row r="82" spans="1:8" ht="16.5" customHeight="1">
      <c r="B82" s="670" t="s">
        <v>532</v>
      </c>
      <c r="C82" s="667" t="s">
        <v>392</v>
      </c>
      <c r="D82" s="354"/>
      <c r="G82" s="87"/>
    </row>
    <row r="83" spans="1:8" ht="16.5" customHeight="1">
      <c r="B83" s="670" t="s">
        <v>556</v>
      </c>
      <c r="C83" s="667" t="s">
        <v>247</v>
      </c>
      <c r="D83" s="354"/>
      <c r="G83" s="87"/>
    </row>
    <row r="84" spans="1:8" ht="16.5" customHeight="1">
      <c r="B84" s="670" t="s">
        <v>127</v>
      </c>
      <c r="C84" s="667" t="s">
        <v>104</v>
      </c>
      <c r="D84" s="368"/>
    </row>
    <row r="85" spans="1:8" ht="16.5" customHeight="1">
      <c r="B85" s="670" t="s">
        <v>134</v>
      </c>
      <c r="C85" s="671"/>
      <c r="D85" s="368"/>
    </row>
    <row r="86" spans="1:8" ht="16.5" customHeight="1">
      <c r="B86" s="670" t="s">
        <v>247</v>
      </c>
      <c r="C86" s="668"/>
      <c r="D86" s="368"/>
    </row>
    <row r="87" spans="1:8" ht="16.5" customHeight="1" thickBot="1">
      <c r="B87" s="672" t="s">
        <v>150</v>
      </c>
      <c r="C87" s="669"/>
      <c r="D87" s="368"/>
    </row>
    <row r="88" spans="1:8" ht="5.25" customHeight="1">
      <c r="A88" s="1"/>
      <c r="B88" s="1"/>
      <c r="C88" s="1"/>
      <c r="D88" s="1"/>
      <c r="E88" s="1"/>
      <c r="F88" s="1"/>
    </row>
    <row r="89" spans="1:8" ht="16.5" customHeight="1">
      <c r="B89" s="1145" t="s">
        <v>1133</v>
      </c>
      <c r="C89" s="1145"/>
      <c r="D89" s="1145"/>
      <c r="E89" s="1145"/>
      <c r="F89" s="1145"/>
      <c r="G89" s="1145"/>
      <c r="H89" s="1145"/>
    </row>
    <row r="90" spans="1:8" ht="5.25" customHeight="1">
      <c r="B90" s="491"/>
      <c r="C90" s="491"/>
      <c r="D90" s="543"/>
      <c r="E90" s="491"/>
      <c r="F90" s="491"/>
      <c r="G90" s="491"/>
      <c r="H90" s="491"/>
    </row>
    <row r="91" spans="1:8" ht="16.5" customHeight="1">
      <c r="B91" s="1143" t="s">
        <v>1208</v>
      </c>
      <c r="C91" s="1143"/>
      <c r="D91" s="1143"/>
      <c r="E91" s="1143"/>
      <c r="F91" s="1143"/>
      <c r="G91" s="1146"/>
      <c r="H91" s="1146"/>
    </row>
    <row r="92" spans="1:8" ht="16.5" customHeight="1">
      <c r="B92" s="1143"/>
      <c r="C92" s="1143"/>
      <c r="D92" s="1143"/>
      <c r="E92" s="1143"/>
      <c r="F92" s="1143"/>
      <c r="G92" s="1146"/>
      <c r="H92" s="1146"/>
    </row>
    <row r="93" spans="1:8" ht="5.25" customHeight="1">
      <c r="B93" s="533"/>
      <c r="C93" s="533"/>
      <c r="D93" s="542"/>
      <c r="E93" s="533"/>
      <c r="F93" s="533"/>
      <c r="G93" s="491"/>
      <c r="H93" s="491"/>
    </row>
    <row r="94" spans="1:8" ht="7.5" customHeight="1">
      <c r="B94" s="1143" t="s">
        <v>1454</v>
      </c>
      <c r="C94" s="1143"/>
      <c r="D94" s="1143"/>
      <c r="E94" s="1143"/>
      <c r="F94" s="1143"/>
      <c r="G94" s="898"/>
      <c r="H94" s="898"/>
    </row>
    <row r="95" spans="1:8" ht="9" customHeight="1">
      <c r="B95" s="1143"/>
      <c r="C95" s="1143"/>
      <c r="D95" s="1143"/>
      <c r="E95" s="1143"/>
      <c r="F95" s="1143"/>
      <c r="G95" s="898"/>
      <c r="H95" s="898"/>
    </row>
    <row r="96" spans="1:8" s="1068" customFormat="1" ht="7.5" customHeight="1">
      <c r="B96" s="1070"/>
      <c r="C96" s="1070"/>
      <c r="D96" s="1070"/>
      <c r="E96" s="1070"/>
      <c r="F96" s="1070"/>
      <c r="G96" s="1069"/>
      <c r="H96" s="1069"/>
    </row>
    <row r="97" spans="2:8" ht="16.5" customHeight="1">
      <c r="B97" s="904" t="s">
        <v>579</v>
      </c>
      <c r="C97" s="904"/>
      <c r="D97" s="904"/>
      <c r="E97" s="904"/>
      <c r="F97" s="904"/>
      <c r="G97" s="898"/>
      <c r="H97" s="898"/>
    </row>
    <row r="98" spans="2:8" ht="5.25" customHeight="1">
      <c r="B98" s="533"/>
      <c r="C98" s="533"/>
      <c r="D98" s="542"/>
      <c r="E98" s="533"/>
      <c r="F98" s="533"/>
      <c r="G98" s="491"/>
      <c r="H98" s="491"/>
    </row>
    <row r="99" spans="2:8" ht="16.5" customHeight="1">
      <c r="B99" s="537" t="s">
        <v>1457</v>
      </c>
      <c r="C99" s="393"/>
      <c r="D99" s="543"/>
      <c r="E99" s="393"/>
      <c r="F99" s="393"/>
    </row>
    <row r="100" spans="2:8" ht="5.25" customHeight="1">
      <c r="B100" s="393"/>
      <c r="C100" s="393"/>
      <c r="D100" s="543"/>
      <c r="E100" s="393"/>
      <c r="F100" s="393"/>
    </row>
    <row r="101" spans="2:8" ht="16.5" customHeight="1">
      <c r="B101" s="130" t="s">
        <v>1173</v>
      </c>
    </row>
  </sheetData>
  <sheetProtection sheet="1" objects="1" scenarios="1" formatColumns="0" formatRows="0" selectLockedCells="1" selectUnlockedCells="1"/>
  <mergeCells count="25">
    <mergeCell ref="B89:H89"/>
    <mergeCell ref="B91:H92"/>
    <mergeCell ref="B79:B80"/>
    <mergeCell ref="C79:C80"/>
    <mergeCell ref="B94:F95"/>
    <mergeCell ref="B21:H23"/>
    <mergeCell ref="B29:H33"/>
    <mergeCell ref="B25:H27"/>
    <mergeCell ref="D66:F71"/>
    <mergeCell ref="B7:H9"/>
    <mergeCell ref="B14:H16"/>
    <mergeCell ref="B46:H51"/>
    <mergeCell ref="B18:H19"/>
    <mergeCell ref="B35:H44"/>
    <mergeCell ref="B53:H55"/>
    <mergeCell ref="B57:H60"/>
    <mergeCell ref="B62:H62"/>
    <mergeCell ref="B64:F64"/>
    <mergeCell ref="B11:H12"/>
    <mergeCell ref="B77:C77"/>
    <mergeCell ref="B78:C78"/>
    <mergeCell ref="C73:H73"/>
    <mergeCell ref="C65:H65"/>
    <mergeCell ref="B74:H74"/>
    <mergeCell ref="B75:H75"/>
  </mergeCells>
  <hyperlinks>
    <hyperlink ref="B101" r:id="rId1"/>
  </hyperlinks>
  <pageMargins left="0.25" right="0.25" top="0.75" bottom="0.75" header="0.3" footer="0.3"/>
  <pageSetup paperSize="9" scale="56" orientation="portrait"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9" tint="0.59999389629810485"/>
  </sheetPr>
  <dimension ref="A1:J65"/>
  <sheetViews>
    <sheetView zoomScale="90" zoomScaleNormal="90" workbookViewId="0">
      <selection activeCell="B6" sqref="B6"/>
    </sheetView>
  </sheetViews>
  <sheetFormatPr baseColWidth="10" defaultRowHeight="15"/>
  <cols>
    <col min="1" max="1" width="17.140625" customWidth="1"/>
    <col min="2" max="2" width="17.5703125" bestFit="1" customWidth="1"/>
    <col min="3" max="3" width="20.5703125" customWidth="1"/>
    <col min="4" max="4" width="24.5703125" customWidth="1"/>
  </cols>
  <sheetData>
    <row r="1" spans="1:10" ht="18.75" customHeight="1">
      <c r="B1" s="1223" t="s">
        <v>146</v>
      </c>
      <c r="C1" s="1223"/>
      <c r="D1" s="1223"/>
      <c r="E1" s="1223"/>
    </row>
    <row r="2" spans="1:10" ht="18.75">
      <c r="A2" s="337"/>
      <c r="B2" s="1223"/>
      <c r="C2" s="1223"/>
      <c r="D2" s="1223"/>
      <c r="E2" s="1223"/>
    </row>
    <row r="4" spans="1:10" s="723" customFormat="1" ht="21" customHeight="1">
      <c r="B4" s="769"/>
      <c r="C4" s="769"/>
      <c r="D4" s="769"/>
      <c r="E4" s="1285" t="s">
        <v>193</v>
      </c>
      <c r="F4" s="1285"/>
      <c r="G4" s="1285"/>
      <c r="H4" s="1285" t="s">
        <v>447</v>
      </c>
      <c r="I4" s="1285"/>
      <c r="J4" s="1285"/>
    </row>
    <row r="5" spans="1:10" s="135" customFormat="1" ht="51" customHeight="1">
      <c r="A5" s="275" t="s">
        <v>363</v>
      </c>
      <c r="B5" s="275" t="s">
        <v>245</v>
      </c>
      <c r="C5" s="331" t="s">
        <v>552</v>
      </c>
      <c r="D5" s="505" t="s">
        <v>1091</v>
      </c>
      <c r="E5" s="275" t="s">
        <v>16</v>
      </c>
      <c r="F5" s="275" t="s">
        <v>113</v>
      </c>
      <c r="G5" s="275" t="s">
        <v>114</v>
      </c>
      <c r="H5" s="275" t="s">
        <v>16</v>
      </c>
      <c r="I5" s="275" t="s">
        <v>113</v>
      </c>
      <c r="J5" s="275" t="s">
        <v>114</v>
      </c>
    </row>
    <row r="6" spans="1:10" ht="15.75">
      <c r="A6" s="859"/>
      <c r="B6" s="860" t="s">
        <v>163</v>
      </c>
      <c r="C6" s="861">
        <v>0</v>
      </c>
      <c r="D6" s="861">
        <v>0</v>
      </c>
      <c r="E6" s="235">
        <f>IF(OR(B6="Kuhmilch"),D6/6.38*10,IF(OR(B6="Ziegenmilch"),D6/6.38*10,VLOOKUP(B6,'Daten Tiere'!$B$5:$E$10,2,FALSE)))</f>
        <v>0</v>
      </c>
      <c r="F6" s="235">
        <f>VLOOKUP(B6,'Daten Tiere'!$B$5:$E$10,3,FALSE)</f>
        <v>0</v>
      </c>
      <c r="G6" s="235">
        <f>VLOOKUP(B6,'Daten Tiere'!$B$5:$E$10,4,FALSE)</f>
        <v>0</v>
      </c>
      <c r="H6" s="541">
        <f>IF(B6="Hühnerei",(C6*D6/1000000*E6),C6/1000*E6)</f>
        <v>0</v>
      </c>
      <c r="I6" s="541">
        <f>IF(B6="Hühnerei",C6*D6/1000000*F6,C6*F6/1000)</f>
        <v>0</v>
      </c>
      <c r="J6" s="541">
        <f>IF(B6="Hühnerei",C6*D6/1000000*G6,C6*G6/1000)</f>
        <v>0</v>
      </c>
    </row>
    <row r="7" spans="1:10" ht="15.75">
      <c r="A7" s="859"/>
      <c r="B7" s="860" t="s">
        <v>163</v>
      </c>
      <c r="C7" s="861">
        <v>0</v>
      </c>
      <c r="D7" s="861">
        <v>0</v>
      </c>
      <c r="E7" s="235">
        <f>IF(OR(B7="Kuhmilch"),D7/6.38*10,IF(OR(B7="Ziegenmilch"),D7/6.38*10,VLOOKUP(B7,'Daten Tiere'!$B$5:$E$10,2,FALSE)))</f>
        <v>0</v>
      </c>
      <c r="F7" s="235">
        <f>VLOOKUP(B7,'Daten Tiere'!$B$5:$E$10,3,FALSE)</f>
        <v>0</v>
      </c>
      <c r="G7" s="235">
        <f>VLOOKUP(B7,'Daten Tiere'!$B$5:$E$10,4,FALSE)</f>
        <v>0</v>
      </c>
      <c r="H7" s="541">
        <f>IF(B7="Hühnerei",(C7*D7/1000000*E7),C7/1000*E7)</f>
        <v>0</v>
      </c>
      <c r="I7" s="541">
        <f>IF(B7="Hühnerei",C7*D7/1000000*F7,C7*F7/1000)</f>
        <v>0</v>
      </c>
      <c r="J7" s="541">
        <f>IF(B7="Hühnerei",C7*D7/1000000*G7,C7*G7/1000)</f>
        <v>0</v>
      </c>
    </row>
    <row r="8" spans="1:10" ht="15.75">
      <c r="A8" s="859"/>
      <c r="B8" s="860" t="s">
        <v>163</v>
      </c>
      <c r="C8" s="861">
        <v>0</v>
      </c>
      <c r="D8" s="861">
        <v>0</v>
      </c>
      <c r="E8" s="235">
        <f>IF(OR(B8="Kuhmilch"),D8/6.38*10,IF(OR(B8="Ziegenmilch"),D8/6.38*10,VLOOKUP(B8,'Daten Tiere'!$B$5:$E$10,2,FALSE)))</f>
        <v>0</v>
      </c>
      <c r="F8" s="235">
        <f>VLOOKUP(B8,'Daten Tiere'!$B$5:$E$10,3,FALSE)</f>
        <v>0</v>
      </c>
      <c r="G8" s="235">
        <f>VLOOKUP(B8,'Daten Tiere'!$B$5:$E$10,4,FALSE)</f>
        <v>0</v>
      </c>
      <c r="H8" s="541">
        <f t="shared" ref="H8:H60" si="0">IF(B8="Hühnerei",(C8*D8/1000000*E8),C8/1000*E8)</f>
        <v>0</v>
      </c>
      <c r="I8" s="541">
        <f t="shared" ref="I8:I60" si="1">IF(B8="Hühnerei",C8*D8/1000000*F8,C8*F8/1000)</f>
        <v>0</v>
      </c>
      <c r="J8" s="541">
        <f t="shared" ref="J8:J60" si="2">IF(B8="Hühnerei",C8*D8/1000000*G8,C8*G8/1000)</f>
        <v>0</v>
      </c>
    </row>
    <row r="9" spans="1:10" ht="15.75">
      <c r="A9" s="859"/>
      <c r="B9" s="860" t="s">
        <v>163</v>
      </c>
      <c r="C9" s="861">
        <v>0</v>
      </c>
      <c r="D9" s="861">
        <v>0</v>
      </c>
      <c r="E9" s="235">
        <f>IF(OR(B9="Kuhmilch"),D9/6.38*10,IF(OR(B9="Ziegenmilch"),D9/6.38*10,VLOOKUP(B9,'Daten Tiere'!$B$5:$E$10,2,FALSE)))</f>
        <v>0</v>
      </c>
      <c r="F9" s="235">
        <f>VLOOKUP(B9,'Daten Tiere'!$B$5:$E$10,3,FALSE)</f>
        <v>0</v>
      </c>
      <c r="G9" s="235">
        <f>VLOOKUP(B9,'Daten Tiere'!$B$5:$E$10,4,FALSE)</f>
        <v>0</v>
      </c>
      <c r="H9" s="541">
        <f t="shared" si="0"/>
        <v>0</v>
      </c>
      <c r="I9" s="541">
        <f t="shared" si="1"/>
        <v>0</v>
      </c>
      <c r="J9" s="541">
        <f t="shared" si="2"/>
        <v>0</v>
      </c>
    </row>
    <row r="10" spans="1:10" ht="15.75">
      <c r="A10" s="859"/>
      <c r="B10" s="860" t="s">
        <v>163</v>
      </c>
      <c r="C10" s="861">
        <v>0</v>
      </c>
      <c r="D10" s="861">
        <v>0</v>
      </c>
      <c r="E10" s="235">
        <f>IF(OR(B10="Kuhmilch"),D10/6.38*10,IF(OR(B10="Ziegenmilch"),D10/6.38*10,VLOOKUP(B10,'Daten Tiere'!$B$5:$E$10,2,FALSE)))</f>
        <v>0</v>
      </c>
      <c r="F10" s="235">
        <f>VLOOKUP(B10,'Daten Tiere'!$B$5:$E$10,3,FALSE)</f>
        <v>0</v>
      </c>
      <c r="G10" s="235">
        <f>VLOOKUP(B10,'Daten Tiere'!$B$5:$E$10,4,FALSE)</f>
        <v>0</v>
      </c>
      <c r="H10" s="541">
        <f t="shared" si="0"/>
        <v>0</v>
      </c>
      <c r="I10" s="541">
        <f t="shared" si="1"/>
        <v>0</v>
      </c>
      <c r="J10" s="541">
        <f t="shared" si="2"/>
        <v>0</v>
      </c>
    </row>
    <row r="11" spans="1:10" ht="15.75">
      <c r="A11" s="859"/>
      <c r="B11" s="860" t="s">
        <v>163</v>
      </c>
      <c r="C11" s="861">
        <v>0</v>
      </c>
      <c r="D11" s="861">
        <v>0</v>
      </c>
      <c r="E11" s="235">
        <f>IF(OR(B11="Kuhmilch"),D11/6.38*10,IF(OR(B11="Ziegenmilch"),D11/6.38*10,VLOOKUP(B11,'Daten Tiere'!$B$5:$E$10,2,FALSE)))</f>
        <v>0</v>
      </c>
      <c r="F11" s="235">
        <f>VLOOKUP(B11,'Daten Tiere'!$B$5:$E$10,3,FALSE)</f>
        <v>0</v>
      </c>
      <c r="G11" s="235">
        <f>VLOOKUP(B11,'Daten Tiere'!$B$5:$E$10,4,FALSE)</f>
        <v>0</v>
      </c>
      <c r="H11" s="541">
        <f t="shared" si="0"/>
        <v>0</v>
      </c>
      <c r="I11" s="541">
        <f t="shared" si="1"/>
        <v>0</v>
      </c>
      <c r="J11" s="541">
        <f t="shared" si="2"/>
        <v>0</v>
      </c>
    </row>
    <row r="12" spans="1:10" ht="15.75">
      <c r="A12" s="859"/>
      <c r="B12" s="860" t="s">
        <v>163</v>
      </c>
      <c r="C12" s="861">
        <v>0</v>
      </c>
      <c r="D12" s="861">
        <v>0</v>
      </c>
      <c r="E12" s="235">
        <f>IF(OR(B12="Kuhmilch"),D12/6.38*10,IF(OR(B12="Ziegenmilch"),D12/6.38*10,VLOOKUP(B12,'Daten Tiere'!$B$5:$E$10,2,FALSE)))</f>
        <v>0</v>
      </c>
      <c r="F12" s="235">
        <f>VLOOKUP(B12,'Daten Tiere'!$B$5:$E$10,3,FALSE)</f>
        <v>0</v>
      </c>
      <c r="G12" s="235">
        <f>VLOOKUP(B12,'Daten Tiere'!$B$5:$E$10,4,FALSE)</f>
        <v>0</v>
      </c>
      <c r="H12" s="541">
        <f t="shared" si="0"/>
        <v>0</v>
      </c>
      <c r="I12" s="541">
        <f t="shared" si="1"/>
        <v>0</v>
      </c>
      <c r="J12" s="541">
        <f t="shared" si="2"/>
        <v>0</v>
      </c>
    </row>
    <row r="13" spans="1:10" ht="15.75">
      <c r="A13" s="859"/>
      <c r="B13" s="860" t="s">
        <v>163</v>
      </c>
      <c r="C13" s="861">
        <v>0</v>
      </c>
      <c r="D13" s="861">
        <v>0</v>
      </c>
      <c r="E13" s="235">
        <f>IF(OR(B13="Kuhmilch"),D13/6.38*10,IF(OR(B13="Ziegenmilch"),D13/6.38*10,VLOOKUP(B13,'Daten Tiere'!$B$5:$E$10,2,FALSE)))</f>
        <v>0</v>
      </c>
      <c r="F13" s="235">
        <f>VLOOKUP(B13,'Daten Tiere'!$B$5:$E$10,3,FALSE)</f>
        <v>0</v>
      </c>
      <c r="G13" s="235">
        <f>VLOOKUP(B13,'Daten Tiere'!$B$5:$E$10,4,FALSE)</f>
        <v>0</v>
      </c>
      <c r="H13" s="541">
        <f t="shared" si="0"/>
        <v>0</v>
      </c>
      <c r="I13" s="541">
        <f t="shared" si="1"/>
        <v>0</v>
      </c>
      <c r="J13" s="541">
        <f t="shared" si="2"/>
        <v>0</v>
      </c>
    </row>
    <row r="14" spans="1:10" ht="15.75">
      <c r="A14" s="859"/>
      <c r="B14" s="860" t="s">
        <v>163</v>
      </c>
      <c r="C14" s="861">
        <v>0</v>
      </c>
      <c r="D14" s="861">
        <v>0</v>
      </c>
      <c r="E14" s="235">
        <f>IF(OR(B14="Kuhmilch"),D14/6.38*10,IF(OR(B14="Ziegenmilch"),D14/6.38*10,VLOOKUP(B14,'Daten Tiere'!$B$5:$E$10,2,FALSE)))</f>
        <v>0</v>
      </c>
      <c r="F14" s="235">
        <f>VLOOKUP(B14,'Daten Tiere'!$B$5:$E$10,3,FALSE)</f>
        <v>0</v>
      </c>
      <c r="G14" s="235">
        <f>VLOOKUP(B14,'Daten Tiere'!$B$5:$E$10,4,FALSE)</f>
        <v>0</v>
      </c>
      <c r="H14" s="541">
        <f t="shared" si="0"/>
        <v>0</v>
      </c>
      <c r="I14" s="541">
        <f t="shared" si="1"/>
        <v>0</v>
      </c>
      <c r="J14" s="541">
        <f t="shared" si="2"/>
        <v>0</v>
      </c>
    </row>
    <row r="15" spans="1:10" ht="15.75">
      <c r="A15" s="859"/>
      <c r="B15" s="860" t="s">
        <v>163</v>
      </c>
      <c r="C15" s="861">
        <v>0</v>
      </c>
      <c r="D15" s="861">
        <v>0</v>
      </c>
      <c r="E15" s="235">
        <f>IF(OR(B15="Kuhmilch"),D15/6.38*10,IF(OR(B15="Ziegenmilch"),D15/6.38*10,VLOOKUP(B15,'Daten Tiere'!$B$5:$E$10,2,FALSE)))</f>
        <v>0</v>
      </c>
      <c r="F15" s="235">
        <f>VLOOKUP(B15,'Daten Tiere'!$B$5:$E$10,3,FALSE)</f>
        <v>0</v>
      </c>
      <c r="G15" s="235">
        <f>VLOOKUP(B15,'Daten Tiere'!$B$5:$E$10,4,FALSE)</f>
        <v>0</v>
      </c>
      <c r="H15" s="541">
        <f t="shared" si="0"/>
        <v>0</v>
      </c>
      <c r="I15" s="541">
        <f t="shared" si="1"/>
        <v>0</v>
      </c>
      <c r="J15" s="541">
        <f t="shared" si="2"/>
        <v>0</v>
      </c>
    </row>
    <row r="16" spans="1:10" ht="15.75">
      <c r="A16" s="859"/>
      <c r="B16" s="860" t="s">
        <v>163</v>
      </c>
      <c r="C16" s="861">
        <v>0</v>
      </c>
      <c r="D16" s="861">
        <v>0</v>
      </c>
      <c r="E16" s="235">
        <f>IF(OR(B16="Kuhmilch"),D16/6.38*10,IF(OR(B16="Ziegenmilch"),D16/6.38*10,VLOOKUP(B16,'Daten Tiere'!$B$5:$E$10,2,FALSE)))</f>
        <v>0</v>
      </c>
      <c r="F16" s="235">
        <f>VLOOKUP(B16,'Daten Tiere'!$B$5:$E$10,3,FALSE)</f>
        <v>0</v>
      </c>
      <c r="G16" s="235">
        <f>VLOOKUP(B16,'Daten Tiere'!$B$5:$E$10,4,FALSE)</f>
        <v>0</v>
      </c>
      <c r="H16" s="541">
        <f t="shared" si="0"/>
        <v>0</v>
      </c>
      <c r="I16" s="541">
        <f t="shared" si="1"/>
        <v>0</v>
      </c>
      <c r="J16" s="541">
        <f t="shared" si="2"/>
        <v>0</v>
      </c>
    </row>
    <row r="17" spans="1:10" ht="15.75">
      <c r="A17" s="859"/>
      <c r="B17" s="860" t="s">
        <v>163</v>
      </c>
      <c r="C17" s="861">
        <v>0</v>
      </c>
      <c r="D17" s="861">
        <v>0</v>
      </c>
      <c r="E17" s="235">
        <f>IF(OR(B17="Kuhmilch"),D17/6.38*10,IF(OR(B17="Ziegenmilch"),D17/6.38*10,VLOOKUP(B17,'Daten Tiere'!$B$5:$E$10,2,FALSE)))</f>
        <v>0</v>
      </c>
      <c r="F17" s="235">
        <f>VLOOKUP(B17,'Daten Tiere'!$B$5:$E$10,3,FALSE)</f>
        <v>0</v>
      </c>
      <c r="G17" s="235">
        <f>VLOOKUP(B17,'Daten Tiere'!$B$5:$E$10,4,FALSE)</f>
        <v>0</v>
      </c>
      <c r="H17" s="541">
        <f t="shared" si="0"/>
        <v>0</v>
      </c>
      <c r="I17" s="541">
        <f t="shared" si="1"/>
        <v>0</v>
      </c>
      <c r="J17" s="541">
        <f>IF(B17="Hühnerei",C17*D17/1000000*G17,C17*G17/1000)</f>
        <v>0</v>
      </c>
    </row>
    <row r="18" spans="1:10" ht="15.75">
      <c r="A18" s="859"/>
      <c r="B18" s="860" t="s">
        <v>163</v>
      </c>
      <c r="C18" s="861">
        <v>0</v>
      </c>
      <c r="D18" s="861">
        <v>0</v>
      </c>
      <c r="E18" s="235">
        <f>IF(OR(B18="Kuhmilch"),D18/6.38*10,IF(OR(B18="Ziegenmilch"),D18/6.38*10,VLOOKUP(B18,'Daten Tiere'!$B$5:$E$10,2,FALSE)))</f>
        <v>0</v>
      </c>
      <c r="F18" s="235">
        <f>VLOOKUP(B18,'Daten Tiere'!$B$5:$E$10,3,FALSE)</f>
        <v>0</v>
      </c>
      <c r="G18" s="235">
        <f>VLOOKUP(B18,'Daten Tiere'!$B$5:$E$10,4,FALSE)</f>
        <v>0</v>
      </c>
      <c r="H18" s="541">
        <f t="shared" si="0"/>
        <v>0</v>
      </c>
      <c r="I18" s="541">
        <f t="shared" si="1"/>
        <v>0</v>
      </c>
      <c r="J18" s="541">
        <f t="shared" si="2"/>
        <v>0</v>
      </c>
    </row>
    <row r="19" spans="1:10" ht="15.75">
      <c r="A19" s="859"/>
      <c r="B19" s="860" t="s">
        <v>163</v>
      </c>
      <c r="C19" s="861">
        <v>0</v>
      </c>
      <c r="D19" s="861">
        <v>0</v>
      </c>
      <c r="E19" s="235">
        <f>IF(OR(B19="Kuhmilch"),D19/6.38*10,IF(OR(B19="Ziegenmilch"),D19/6.38*10,VLOOKUP(B19,'Daten Tiere'!$B$5:$E$10,2,FALSE)))</f>
        <v>0</v>
      </c>
      <c r="F19" s="235">
        <f>VLOOKUP(B19,'Daten Tiere'!$B$5:$E$10,3,FALSE)</f>
        <v>0</v>
      </c>
      <c r="G19" s="235">
        <f>VLOOKUP(B19,'Daten Tiere'!$B$5:$E$10,4,FALSE)</f>
        <v>0</v>
      </c>
      <c r="H19" s="541">
        <f t="shared" si="0"/>
        <v>0</v>
      </c>
      <c r="I19" s="541">
        <f t="shared" si="1"/>
        <v>0</v>
      </c>
      <c r="J19" s="541">
        <f t="shared" si="2"/>
        <v>0</v>
      </c>
    </row>
    <row r="20" spans="1:10" ht="15.75">
      <c r="A20" s="859"/>
      <c r="B20" s="860" t="s">
        <v>163</v>
      </c>
      <c r="C20" s="861">
        <v>0</v>
      </c>
      <c r="D20" s="861">
        <v>0</v>
      </c>
      <c r="E20" s="235">
        <f>IF(OR(B20="Kuhmilch"),D20/6.38*10,IF(OR(B20="Ziegenmilch"),D20/6.38*10,VLOOKUP(B20,'Daten Tiere'!$B$5:$E$10,2,FALSE)))</f>
        <v>0</v>
      </c>
      <c r="F20" s="235">
        <f>VLOOKUP(B20,'Daten Tiere'!$B$5:$E$10,3,FALSE)</f>
        <v>0</v>
      </c>
      <c r="G20" s="235">
        <f>VLOOKUP(B20,'Daten Tiere'!$B$5:$E$10,4,FALSE)</f>
        <v>0</v>
      </c>
      <c r="H20" s="541">
        <f t="shared" si="0"/>
        <v>0</v>
      </c>
      <c r="I20" s="541">
        <f t="shared" si="1"/>
        <v>0</v>
      </c>
      <c r="J20" s="541">
        <f t="shared" si="2"/>
        <v>0</v>
      </c>
    </row>
    <row r="21" spans="1:10" ht="15.75">
      <c r="A21" s="859"/>
      <c r="B21" s="860" t="s">
        <v>163</v>
      </c>
      <c r="C21" s="861">
        <v>0</v>
      </c>
      <c r="D21" s="861">
        <v>0</v>
      </c>
      <c r="E21" s="235">
        <f>IF(OR(B21="Kuhmilch"),D21/6.38*10,IF(OR(B21="Ziegenmilch"),D21/6.38*10,VLOOKUP(B21,'Daten Tiere'!$B$5:$E$10,2,FALSE)))</f>
        <v>0</v>
      </c>
      <c r="F21" s="235">
        <f>VLOOKUP(B21,'Daten Tiere'!$B$5:$E$10,3,FALSE)</f>
        <v>0</v>
      </c>
      <c r="G21" s="235">
        <f>VLOOKUP(B21,'Daten Tiere'!$B$5:$E$10,4,FALSE)</f>
        <v>0</v>
      </c>
      <c r="H21" s="541">
        <f t="shared" si="0"/>
        <v>0</v>
      </c>
      <c r="I21" s="541">
        <f t="shared" si="1"/>
        <v>0</v>
      </c>
      <c r="J21" s="541">
        <f t="shared" si="2"/>
        <v>0</v>
      </c>
    </row>
    <row r="22" spans="1:10" ht="15.75">
      <c r="A22" s="859"/>
      <c r="B22" s="860" t="s">
        <v>163</v>
      </c>
      <c r="C22" s="861">
        <v>0</v>
      </c>
      <c r="D22" s="861">
        <v>0</v>
      </c>
      <c r="E22" s="235">
        <f>IF(OR(B22="Kuhmilch"),D22/6.38*10,IF(OR(B22="Ziegenmilch"),D22/6.38*10,VLOOKUP(B22,'Daten Tiere'!$B$5:$E$10,2,FALSE)))</f>
        <v>0</v>
      </c>
      <c r="F22" s="235">
        <f>VLOOKUP(B22,'Daten Tiere'!$B$5:$E$10,3,FALSE)</f>
        <v>0</v>
      </c>
      <c r="G22" s="235">
        <f>VLOOKUP(B22,'Daten Tiere'!$B$5:$E$10,4,FALSE)</f>
        <v>0</v>
      </c>
      <c r="H22" s="541">
        <f t="shared" si="0"/>
        <v>0</v>
      </c>
      <c r="I22" s="541">
        <f t="shared" si="1"/>
        <v>0</v>
      </c>
      <c r="J22" s="541">
        <f t="shared" si="2"/>
        <v>0</v>
      </c>
    </row>
    <row r="23" spans="1:10" ht="15.75">
      <c r="A23" s="859"/>
      <c r="B23" s="860" t="s">
        <v>163</v>
      </c>
      <c r="C23" s="861">
        <v>0</v>
      </c>
      <c r="D23" s="861">
        <v>0</v>
      </c>
      <c r="E23" s="235">
        <f>IF(OR(B23="Kuhmilch"),D23/6.38*10,IF(OR(B23="Ziegenmilch"),D23/6.38*10,VLOOKUP(B23,'Daten Tiere'!$B$5:$E$10,2,FALSE)))</f>
        <v>0</v>
      </c>
      <c r="F23" s="235">
        <f>VLOOKUP(B23,'Daten Tiere'!$B$5:$E$10,3,FALSE)</f>
        <v>0</v>
      </c>
      <c r="G23" s="235">
        <f>VLOOKUP(B23,'Daten Tiere'!$B$5:$E$10,4,FALSE)</f>
        <v>0</v>
      </c>
      <c r="H23" s="541">
        <f t="shared" si="0"/>
        <v>0</v>
      </c>
      <c r="I23" s="541">
        <f t="shared" si="1"/>
        <v>0</v>
      </c>
      <c r="J23" s="541">
        <f t="shared" si="2"/>
        <v>0</v>
      </c>
    </row>
    <row r="24" spans="1:10" ht="15.75">
      <c r="A24" s="859"/>
      <c r="B24" s="860" t="s">
        <v>163</v>
      </c>
      <c r="C24" s="861">
        <v>0</v>
      </c>
      <c r="D24" s="861">
        <v>0</v>
      </c>
      <c r="E24" s="235">
        <f>IF(OR(B24="Kuhmilch"),D24/6.38*10,IF(OR(B24="Ziegenmilch"),D24/6.38*10,VLOOKUP(B24,'Daten Tiere'!$B$5:$E$10,2,FALSE)))</f>
        <v>0</v>
      </c>
      <c r="F24" s="235">
        <f>VLOOKUP(B24,'Daten Tiere'!$B$5:$E$10,3,FALSE)</f>
        <v>0</v>
      </c>
      <c r="G24" s="235">
        <f>VLOOKUP(B24,'Daten Tiere'!$B$5:$E$10,4,FALSE)</f>
        <v>0</v>
      </c>
      <c r="H24" s="541">
        <f t="shared" si="0"/>
        <v>0</v>
      </c>
      <c r="I24" s="541">
        <f t="shared" si="1"/>
        <v>0</v>
      </c>
      <c r="J24" s="541">
        <f t="shared" si="2"/>
        <v>0</v>
      </c>
    </row>
    <row r="25" spans="1:10" ht="15.75">
      <c r="A25" s="859"/>
      <c r="B25" s="860" t="s">
        <v>163</v>
      </c>
      <c r="C25" s="861">
        <v>0</v>
      </c>
      <c r="D25" s="861">
        <v>0</v>
      </c>
      <c r="E25" s="235">
        <f>IF(OR(B25="Kuhmilch"),D25/6.38*10,IF(OR(B25="Ziegenmilch"),D25/6.38*10,VLOOKUP(B25,'Daten Tiere'!$B$5:$E$10,2,FALSE)))</f>
        <v>0</v>
      </c>
      <c r="F25" s="235">
        <f>VLOOKUP(B25,'Daten Tiere'!$B$5:$E$10,3,FALSE)</f>
        <v>0</v>
      </c>
      <c r="G25" s="235">
        <f>VLOOKUP(B25,'Daten Tiere'!$B$5:$E$10,4,FALSE)</f>
        <v>0</v>
      </c>
      <c r="H25" s="541">
        <f t="shared" si="0"/>
        <v>0</v>
      </c>
      <c r="I25" s="541">
        <f t="shared" si="1"/>
        <v>0</v>
      </c>
      <c r="J25" s="541">
        <f t="shared" si="2"/>
        <v>0</v>
      </c>
    </row>
    <row r="26" spans="1:10" ht="15.75">
      <c r="A26" s="859"/>
      <c r="B26" s="860" t="s">
        <v>163</v>
      </c>
      <c r="C26" s="861">
        <v>0</v>
      </c>
      <c r="D26" s="861">
        <v>0</v>
      </c>
      <c r="E26" s="235">
        <f>IF(OR(B26="Kuhmilch"),D26/6.38*10,IF(OR(B26="Ziegenmilch"),D26/6.38*10,VLOOKUP(B26,'Daten Tiere'!$B$5:$E$10,2,FALSE)))</f>
        <v>0</v>
      </c>
      <c r="F26" s="235">
        <f>VLOOKUP(B26,'Daten Tiere'!$B$5:$E$10,3,FALSE)</f>
        <v>0</v>
      </c>
      <c r="G26" s="235">
        <f>VLOOKUP(B26,'Daten Tiere'!$B$5:$E$10,4,FALSE)</f>
        <v>0</v>
      </c>
      <c r="H26" s="541">
        <f t="shared" si="0"/>
        <v>0</v>
      </c>
      <c r="I26" s="541">
        <f t="shared" si="1"/>
        <v>0</v>
      </c>
      <c r="J26" s="541">
        <f t="shared" si="2"/>
        <v>0</v>
      </c>
    </row>
    <row r="27" spans="1:10" ht="15.75">
      <c r="A27" s="859"/>
      <c r="B27" s="860" t="s">
        <v>163</v>
      </c>
      <c r="C27" s="861">
        <v>0</v>
      </c>
      <c r="D27" s="861">
        <v>0</v>
      </c>
      <c r="E27" s="235">
        <f>IF(OR(B27="Kuhmilch"),D27/6.38*10,IF(OR(B27="Ziegenmilch"),D27/6.38*10,VLOOKUP(B27,'Daten Tiere'!$B$5:$E$10,2,FALSE)))</f>
        <v>0</v>
      </c>
      <c r="F27" s="235">
        <f>VLOOKUP(B27,'Daten Tiere'!$B$5:$E$10,3,FALSE)</f>
        <v>0</v>
      </c>
      <c r="G27" s="235">
        <f>VLOOKUP(B27,'Daten Tiere'!$B$5:$E$10,4,FALSE)</f>
        <v>0</v>
      </c>
      <c r="H27" s="541">
        <f t="shared" si="0"/>
        <v>0</v>
      </c>
      <c r="I27" s="541">
        <f t="shared" si="1"/>
        <v>0</v>
      </c>
      <c r="J27" s="541">
        <f t="shared" si="2"/>
        <v>0</v>
      </c>
    </row>
    <row r="28" spans="1:10" ht="15.75">
      <c r="A28" s="859"/>
      <c r="B28" s="860" t="s">
        <v>163</v>
      </c>
      <c r="C28" s="861">
        <v>0</v>
      </c>
      <c r="D28" s="861">
        <v>0</v>
      </c>
      <c r="E28" s="235">
        <f>IF(OR(B28="Kuhmilch"),D28/6.38*10,IF(OR(B28="Ziegenmilch"),D28/6.38*10,VLOOKUP(B28,'Daten Tiere'!$B$5:$E$10,2,FALSE)))</f>
        <v>0</v>
      </c>
      <c r="F28" s="235">
        <f>VLOOKUP(B28,'Daten Tiere'!$B$5:$E$10,3,FALSE)</f>
        <v>0</v>
      </c>
      <c r="G28" s="235">
        <f>VLOOKUP(B28,'Daten Tiere'!$B$5:$E$10,4,FALSE)</f>
        <v>0</v>
      </c>
      <c r="H28" s="541">
        <f t="shared" si="0"/>
        <v>0</v>
      </c>
      <c r="I28" s="541">
        <f t="shared" si="1"/>
        <v>0</v>
      </c>
      <c r="J28" s="541">
        <f t="shared" si="2"/>
        <v>0</v>
      </c>
    </row>
    <row r="29" spans="1:10" ht="15.75">
      <c r="A29" s="859"/>
      <c r="B29" s="860" t="s">
        <v>163</v>
      </c>
      <c r="C29" s="861">
        <v>0</v>
      </c>
      <c r="D29" s="861">
        <v>0</v>
      </c>
      <c r="E29" s="235">
        <f>IF(OR(B29="Kuhmilch"),D29/6.38*10,IF(OR(B29="Ziegenmilch"),D29/6.38*10,VLOOKUP(B29,'Daten Tiere'!$B$5:$E$10,2,FALSE)))</f>
        <v>0</v>
      </c>
      <c r="F29" s="235">
        <f>VLOOKUP(B29,'Daten Tiere'!$B$5:$E$10,3,FALSE)</f>
        <v>0</v>
      </c>
      <c r="G29" s="235">
        <f>VLOOKUP(B29,'Daten Tiere'!$B$5:$E$10,4,FALSE)</f>
        <v>0</v>
      </c>
      <c r="H29" s="541">
        <f t="shared" si="0"/>
        <v>0</v>
      </c>
      <c r="I29" s="541">
        <f t="shared" si="1"/>
        <v>0</v>
      </c>
      <c r="J29" s="541">
        <f t="shared" si="2"/>
        <v>0</v>
      </c>
    </row>
    <row r="30" spans="1:10" ht="15.75">
      <c r="A30" s="859"/>
      <c r="B30" s="860" t="s">
        <v>163</v>
      </c>
      <c r="C30" s="861">
        <v>0</v>
      </c>
      <c r="D30" s="861">
        <v>0</v>
      </c>
      <c r="E30" s="235">
        <f>IF(OR(B30="Kuhmilch"),D30/6.38*10,IF(OR(B30="Ziegenmilch"),D30/6.38*10,VLOOKUP(B30,'Daten Tiere'!$B$5:$E$10,2,FALSE)))</f>
        <v>0</v>
      </c>
      <c r="F30" s="235">
        <f>VLOOKUP(B30,'Daten Tiere'!$B$5:$E$10,3,FALSE)</f>
        <v>0</v>
      </c>
      <c r="G30" s="235">
        <f>VLOOKUP(B30,'Daten Tiere'!$B$5:$E$10,4,FALSE)</f>
        <v>0</v>
      </c>
      <c r="H30" s="541">
        <f t="shared" si="0"/>
        <v>0</v>
      </c>
      <c r="I30" s="541">
        <f t="shared" si="1"/>
        <v>0</v>
      </c>
      <c r="J30" s="541">
        <f t="shared" si="2"/>
        <v>0</v>
      </c>
    </row>
    <row r="31" spans="1:10" ht="15.75">
      <c r="A31" s="859"/>
      <c r="B31" s="860" t="s">
        <v>163</v>
      </c>
      <c r="C31" s="861">
        <v>0</v>
      </c>
      <c r="D31" s="861">
        <v>0</v>
      </c>
      <c r="E31" s="235">
        <f>IF(OR(B31="Kuhmilch"),D31/6.38*10,IF(OR(B31="Ziegenmilch"),D31/6.38*10,VLOOKUP(B31,'Daten Tiere'!$B$5:$E$10,2,FALSE)))</f>
        <v>0</v>
      </c>
      <c r="F31" s="235">
        <f>VLOOKUP(B31,'Daten Tiere'!$B$5:$E$10,3,FALSE)</f>
        <v>0</v>
      </c>
      <c r="G31" s="235">
        <f>VLOOKUP(B31,'Daten Tiere'!$B$5:$E$10,4,FALSE)</f>
        <v>0</v>
      </c>
      <c r="H31" s="541">
        <f t="shared" si="0"/>
        <v>0</v>
      </c>
      <c r="I31" s="541">
        <f t="shared" si="1"/>
        <v>0</v>
      </c>
      <c r="J31" s="541">
        <f t="shared" si="2"/>
        <v>0</v>
      </c>
    </row>
    <row r="32" spans="1:10" ht="15.75">
      <c r="A32" s="859"/>
      <c r="B32" s="860" t="s">
        <v>163</v>
      </c>
      <c r="C32" s="861">
        <v>0</v>
      </c>
      <c r="D32" s="861">
        <v>0</v>
      </c>
      <c r="E32" s="235">
        <f>IF(OR(B32="Kuhmilch"),D32/6.38*10,IF(OR(B32="Ziegenmilch"),D32/6.38*10,VLOOKUP(B32,'Daten Tiere'!$B$5:$E$10,2,FALSE)))</f>
        <v>0</v>
      </c>
      <c r="F32" s="235">
        <f>VLOOKUP(B32,'Daten Tiere'!$B$5:$E$10,3,FALSE)</f>
        <v>0</v>
      </c>
      <c r="G32" s="235">
        <f>VLOOKUP(B32,'Daten Tiere'!$B$5:$E$10,4,FALSE)</f>
        <v>0</v>
      </c>
      <c r="H32" s="541">
        <f t="shared" si="0"/>
        <v>0</v>
      </c>
      <c r="I32" s="541">
        <f t="shared" si="1"/>
        <v>0</v>
      </c>
      <c r="J32" s="541">
        <f t="shared" si="2"/>
        <v>0</v>
      </c>
    </row>
    <row r="33" spans="1:10" ht="15.75">
      <c r="A33" s="859"/>
      <c r="B33" s="860" t="s">
        <v>163</v>
      </c>
      <c r="C33" s="861">
        <v>0</v>
      </c>
      <c r="D33" s="861">
        <v>0</v>
      </c>
      <c r="E33" s="235">
        <f>IF(OR(B33="Kuhmilch"),D33/6.38*10,IF(OR(B33="Ziegenmilch"),D33/6.38*10,VLOOKUP(B33,'Daten Tiere'!$B$5:$E$10,2,FALSE)))</f>
        <v>0</v>
      </c>
      <c r="F33" s="235">
        <f>VLOOKUP(B33,'Daten Tiere'!$B$5:$E$10,3,FALSE)</f>
        <v>0</v>
      </c>
      <c r="G33" s="235">
        <f>VLOOKUP(B33,'Daten Tiere'!$B$5:$E$10,4,FALSE)</f>
        <v>0</v>
      </c>
      <c r="H33" s="541">
        <f t="shared" si="0"/>
        <v>0</v>
      </c>
      <c r="I33" s="541">
        <f t="shared" si="1"/>
        <v>0</v>
      </c>
      <c r="J33" s="541">
        <f t="shared" si="2"/>
        <v>0</v>
      </c>
    </row>
    <row r="34" spans="1:10" ht="15.75">
      <c r="A34" s="859"/>
      <c r="B34" s="860" t="s">
        <v>163</v>
      </c>
      <c r="C34" s="861">
        <v>0</v>
      </c>
      <c r="D34" s="861">
        <v>0</v>
      </c>
      <c r="E34" s="235">
        <f>IF(OR(B34="Kuhmilch"),D34/6.38*10,IF(OR(B34="Ziegenmilch"),D34/6.38*10,VLOOKUP(B34,'Daten Tiere'!$B$5:$E$10,2,FALSE)))</f>
        <v>0</v>
      </c>
      <c r="F34" s="235">
        <f>VLOOKUP(B34,'Daten Tiere'!$B$5:$E$10,3,FALSE)</f>
        <v>0</v>
      </c>
      <c r="G34" s="235">
        <f>VLOOKUP(B34,'Daten Tiere'!$B$5:$E$10,4,FALSE)</f>
        <v>0</v>
      </c>
      <c r="H34" s="541">
        <f t="shared" si="0"/>
        <v>0</v>
      </c>
      <c r="I34" s="541">
        <f t="shared" si="1"/>
        <v>0</v>
      </c>
      <c r="J34" s="541">
        <f t="shared" si="2"/>
        <v>0</v>
      </c>
    </row>
    <row r="35" spans="1:10" ht="15.75">
      <c r="A35" s="859"/>
      <c r="B35" s="860" t="s">
        <v>163</v>
      </c>
      <c r="C35" s="861">
        <v>0</v>
      </c>
      <c r="D35" s="861">
        <v>0</v>
      </c>
      <c r="E35" s="235">
        <f>IF(OR(B35="Kuhmilch"),D35/6.38*10,IF(OR(B35="Ziegenmilch"),D35/6.38*10,VLOOKUP(B35,'Daten Tiere'!$B$5:$E$10,2,FALSE)))</f>
        <v>0</v>
      </c>
      <c r="F35" s="235">
        <f>VLOOKUP(B35,'Daten Tiere'!$B$5:$E$10,3,FALSE)</f>
        <v>0</v>
      </c>
      <c r="G35" s="235">
        <f>VLOOKUP(B35,'Daten Tiere'!$B$5:$E$10,4,FALSE)</f>
        <v>0</v>
      </c>
      <c r="H35" s="541">
        <f t="shared" si="0"/>
        <v>0</v>
      </c>
      <c r="I35" s="541">
        <f t="shared" si="1"/>
        <v>0</v>
      </c>
      <c r="J35" s="541">
        <f t="shared" si="2"/>
        <v>0</v>
      </c>
    </row>
    <row r="36" spans="1:10" ht="15.75">
      <c r="A36" s="859"/>
      <c r="B36" s="860" t="s">
        <v>163</v>
      </c>
      <c r="C36" s="861">
        <v>0</v>
      </c>
      <c r="D36" s="861">
        <v>0</v>
      </c>
      <c r="E36" s="235">
        <f>IF(OR(B36="Kuhmilch"),D36/6.38*10,IF(OR(B36="Ziegenmilch"),D36/6.38*10,VLOOKUP(B36,'Daten Tiere'!$B$5:$E$10,2,FALSE)))</f>
        <v>0</v>
      </c>
      <c r="F36" s="235">
        <f>VLOOKUP(B36,'Daten Tiere'!$B$5:$E$10,3,FALSE)</f>
        <v>0</v>
      </c>
      <c r="G36" s="235">
        <f>VLOOKUP(B36,'Daten Tiere'!$B$5:$E$10,4,FALSE)</f>
        <v>0</v>
      </c>
      <c r="H36" s="541">
        <f t="shared" si="0"/>
        <v>0</v>
      </c>
      <c r="I36" s="541">
        <f t="shared" si="1"/>
        <v>0</v>
      </c>
      <c r="J36" s="541">
        <f t="shared" si="2"/>
        <v>0</v>
      </c>
    </row>
    <row r="37" spans="1:10" ht="15.75">
      <c r="A37" s="859"/>
      <c r="B37" s="860" t="s">
        <v>163</v>
      </c>
      <c r="C37" s="861">
        <v>0</v>
      </c>
      <c r="D37" s="861">
        <v>0</v>
      </c>
      <c r="E37" s="235">
        <f>IF(OR(B37="Kuhmilch"),D37/6.38*10,IF(OR(B37="Ziegenmilch"),D37/6.38*10,VLOOKUP(B37,'Daten Tiere'!$B$5:$E$10,2,FALSE)))</f>
        <v>0</v>
      </c>
      <c r="F37" s="235">
        <f>VLOOKUP(B37,'Daten Tiere'!$B$5:$E$10,3,FALSE)</f>
        <v>0</v>
      </c>
      <c r="G37" s="235">
        <f>VLOOKUP(B37,'Daten Tiere'!$B$5:$E$10,4,FALSE)</f>
        <v>0</v>
      </c>
      <c r="H37" s="541">
        <f t="shared" si="0"/>
        <v>0</v>
      </c>
      <c r="I37" s="541">
        <f t="shared" si="1"/>
        <v>0</v>
      </c>
      <c r="J37" s="541">
        <f t="shared" si="2"/>
        <v>0</v>
      </c>
    </row>
    <row r="38" spans="1:10" ht="15.75">
      <c r="A38" s="859"/>
      <c r="B38" s="860" t="s">
        <v>163</v>
      </c>
      <c r="C38" s="861">
        <v>0</v>
      </c>
      <c r="D38" s="861">
        <v>0</v>
      </c>
      <c r="E38" s="235">
        <f>IF(OR(B38="Kuhmilch"),D38/6.38*10,IF(OR(B38="Ziegenmilch"),D38/6.38*10,VLOOKUP(B38,'Daten Tiere'!$B$5:$E$10,2,FALSE)))</f>
        <v>0</v>
      </c>
      <c r="F38" s="235">
        <f>VLOOKUP(B38,'Daten Tiere'!$B$5:$E$10,3,FALSE)</f>
        <v>0</v>
      </c>
      <c r="G38" s="235">
        <f>VLOOKUP(B38,'Daten Tiere'!$B$5:$E$10,4,FALSE)</f>
        <v>0</v>
      </c>
      <c r="H38" s="541">
        <f t="shared" si="0"/>
        <v>0</v>
      </c>
      <c r="I38" s="541">
        <f t="shared" si="1"/>
        <v>0</v>
      </c>
      <c r="J38" s="541">
        <f t="shared" si="2"/>
        <v>0</v>
      </c>
    </row>
    <row r="39" spans="1:10" ht="15.75">
      <c r="A39" s="859"/>
      <c r="B39" s="860" t="s">
        <v>163</v>
      </c>
      <c r="C39" s="861">
        <v>0</v>
      </c>
      <c r="D39" s="861">
        <v>0</v>
      </c>
      <c r="E39" s="235">
        <f>IF(OR(B39="Kuhmilch"),D39/6.38*10,IF(OR(B39="Ziegenmilch"),D39/6.38*10,VLOOKUP(B39,'Daten Tiere'!$B$5:$E$10,2,FALSE)))</f>
        <v>0</v>
      </c>
      <c r="F39" s="235">
        <f>VLOOKUP(B39,'Daten Tiere'!$B$5:$E$10,3,FALSE)</f>
        <v>0</v>
      </c>
      <c r="G39" s="235">
        <f>VLOOKUP(B39,'Daten Tiere'!$B$5:$E$10,4,FALSE)</f>
        <v>0</v>
      </c>
      <c r="H39" s="541">
        <f t="shared" si="0"/>
        <v>0</v>
      </c>
      <c r="I39" s="541">
        <f t="shared" si="1"/>
        <v>0</v>
      </c>
      <c r="J39" s="541">
        <f t="shared" si="2"/>
        <v>0</v>
      </c>
    </row>
    <row r="40" spans="1:10" ht="15.75">
      <c r="A40" s="859"/>
      <c r="B40" s="860" t="s">
        <v>163</v>
      </c>
      <c r="C40" s="861">
        <v>0</v>
      </c>
      <c r="D40" s="861">
        <v>0</v>
      </c>
      <c r="E40" s="235">
        <f>IF(OR(B40="Kuhmilch"),D40/6.38*10,IF(OR(B40="Ziegenmilch"),D40/6.38*10,VLOOKUP(B40,'Daten Tiere'!$B$5:$E$10,2,FALSE)))</f>
        <v>0</v>
      </c>
      <c r="F40" s="235">
        <f>VLOOKUP(B40,'Daten Tiere'!$B$5:$E$10,3,FALSE)</f>
        <v>0</v>
      </c>
      <c r="G40" s="235">
        <f>VLOOKUP(B40,'Daten Tiere'!$B$5:$E$10,4,FALSE)</f>
        <v>0</v>
      </c>
      <c r="H40" s="541">
        <f t="shared" si="0"/>
        <v>0</v>
      </c>
      <c r="I40" s="541">
        <f t="shared" si="1"/>
        <v>0</v>
      </c>
      <c r="J40" s="541">
        <f t="shared" si="2"/>
        <v>0</v>
      </c>
    </row>
    <row r="41" spans="1:10" ht="15.75">
      <c r="A41" s="859"/>
      <c r="B41" s="860" t="s">
        <v>163</v>
      </c>
      <c r="C41" s="861">
        <v>0</v>
      </c>
      <c r="D41" s="861">
        <v>0</v>
      </c>
      <c r="E41" s="235">
        <f>IF(OR(B41="Kuhmilch"),D41/6.38*10,IF(OR(B41="Ziegenmilch"),D41/6.38*10,VLOOKUP(B41,'Daten Tiere'!$B$5:$E$10,2,FALSE)))</f>
        <v>0</v>
      </c>
      <c r="F41" s="235">
        <f>VLOOKUP(B41,'Daten Tiere'!$B$5:$E$10,3,FALSE)</f>
        <v>0</v>
      </c>
      <c r="G41" s="235">
        <f>VLOOKUP(B41,'Daten Tiere'!$B$5:$E$10,4,FALSE)</f>
        <v>0</v>
      </c>
      <c r="H41" s="541">
        <f t="shared" si="0"/>
        <v>0</v>
      </c>
      <c r="I41" s="541">
        <f t="shared" si="1"/>
        <v>0</v>
      </c>
      <c r="J41" s="541">
        <f t="shared" si="2"/>
        <v>0</v>
      </c>
    </row>
    <row r="42" spans="1:10" ht="15.75">
      <c r="A42" s="859"/>
      <c r="B42" s="860" t="s">
        <v>163</v>
      </c>
      <c r="C42" s="861">
        <v>0</v>
      </c>
      <c r="D42" s="861">
        <v>0</v>
      </c>
      <c r="E42" s="235">
        <f>IF(OR(B42="Kuhmilch"),D42/6.38*10,IF(OR(B42="Ziegenmilch"),D42/6.38*10,VLOOKUP(B42,'Daten Tiere'!$B$5:$E$10,2,FALSE)))</f>
        <v>0</v>
      </c>
      <c r="F42" s="235">
        <f>VLOOKUP(B42,'Daten Tiere'!$B$5:$E$10,3,FALSE)</f>
        <v>0</v>
      </c>
      <c r="G42" s="235">
        <f>VLOOKUP(B42,'Daten Tiere'!$B$5:$E$10,4,FALSE)</f>
        <v>0</v>
      </c>
      <c r="H42" s="541">
        <f t="shared" si="0"/>
        <v>0</v>
      </c>
      <c r="I42" s="541">
        <f t="shared" si="1"/>
        <v>0</v>
      </c>
      <c r="J42" s="541">
        <f t="shared" si="2"/>
        <v>0</v>
      </c>
    </row>
    <row r="43" spans="1:10" ht="15.75">
      <c r="A43" s="859"/>
      <c r="B43" s="860" t="s">
        <v>163</v>
      </c>
      <c r="C43" s="861">
        <v>0</v>
      </c>
      <c r="D43" s="861">
        <v>0</v>
      </c>
      <c r="E43" s="235">
        <f>IF(OR(B43="Kuhmilch"),D43/6.38*10,IF(OR(B43="Ziegenmilch"),D43/6.38*10,VLOOKUP(B43,'Daten Tiere'!$B$5:$E$10,2,FALSE)))</f>
        <v>0</v>
      </c>
      <c r="F43" s="235">
        <f>VLOOKUP(B43,'Daten Tiere'!$B$5:$E$10,3,FALSE)</f>
        <v>0</v>
      </c>
      <c r="G43" s="235">
        <f>VLOOKUP(B43,'Daten Tiere'!$B$5:$E$10,4,FALSE)</f>
        <v>0</v>
      </c>
      <c r="H43" s="541">
        <f t="shared" si="0"/>
        <v>0</v>
      </c>
      <c r="I43" s="541">
        <f t="shared" si="1"/>
        <v>0</v>
      </c>
      <c r="J43" s="541">
        <f t="shared" si="2"/>
        <v>0</v>
      </c>
    </row>
    <row r="44" spans="1:10" ht="15.75">
      <c r="A44" s="859"/>
      <c r="B44" s="860" t="s">
        <v>163</v>
      </c>
      <c r="C44" s="861">
        <v>0</v>
      </c>
      <c r="D44" s="861">
        <v>0</v>
      </c>
      <c r="E44" s="235">
        <f>IF(OR(B44="Kuhmilch"),D44/6.38*10,IF(OR(B44="Ziegenmilch"),D44/6.38*10,VLOOKUP(B44,'Daten Tiere'!$B$5:$E$10,2,FALSE)))</f>
        <v>0</v>
      </c>
      <c r="F44" s="235">
        <f>VLOOKUP(B44,'Daten Tiere'!$B$5:$E$10,3,FALSE)</f>
        <v>0</v>
      </c>
      <c r="G44" s="235">
        <f>VLOOKUP(B44,'Daten Tiere'!$B$5:$E$10,4,FALSE)</f>
        <v>0</v>
      </c>
      <c r="H44" s="541">
        <f t="shared" si="0"/>
        <v>0</v>
      </c>
      <c r="I44" s="541">
        <f t="shared" si="1"/>
        <v>0</v>
      </c>
      <c r="J44" s="541">
        <f t="shared" si="2"/>
        <v>0</v>
      </c>
    </row>
    <row r="45" spans="1:10" ht="15.75">
      <c r="A45" s="859"/>
      <c r="B45" s="860" t="s">
        <v>163</v>
      </c>
      <c r="C45" s="861">
        <v>0</v>
      </c>
      <c r="D45" s="861">
        <v>0</v>
      </c>
      <c r="E45" s="235">
        <f>IF(OR(B45="Kuhmilch"),D45/6.38*10,IF(OR(B45="Ziegenmilch"),D45/6.38*10,VLOOKUP(B45,'Daten Tiere'!$B$5:$E$10,2,FALSE)))</f>
        <v>0</v>
      </c>
      <c r="F45" s="235">
        <f>VLOOKUP(B45,'Daten Tiere'!$B$5:$E$10,3,FALSE)</f>
        <v>0</v>
      </c>
      <c r="G45" s="235">
        <f>VLOOKUP(B45,'Daten Tiere'!$B$5:$E$10,4,FALSE)</f>
        <v>0</v>
      </c>
      <c r="H45" s="541">
        <f t="shared" si="0"/>
        <v>0</v>
      </c>
      <c r="I45" s="541">
        <f t="shared" si="1"/>
        <v>0</v>
      </c>
      <c r="J45" s="541">
        <f t="shared" si="2"/>
        <v>0</v>
      </c>
    </row>
    <row r="46" spans="1:10" ht="15.75">
      <c r="A46" s="859"/>
      <c r="B46" s="860" t="s">
        <v>163</v>
      </c>
      <c r="C46" s="861">
        <v>0</v>
      </c>
      <c r="D46" s="861">
        <v>0</v>
      </c>
      <c r="E46" s="235">
        <f>IF(OR(B46="Kuhmilch"),D46/6.38*10,IF(OR(B46="Ziegenmilch"),D46/6.38*10,VLOOKUP(B46,'Daten Tiere'!$B$5:$E$10,2,FALSE)))</f>
        <v>0</v>
      </c>
      <c r="F46" s="235">
        <f>VLOOKUP(B46,'Daten Tiere'!$B$5:$E$10,3,FALSE)</f>
        <v>0</v>
      </c>
      <c r="G46" s="235">
        <f>VLOOKUP(B46,'Daten Tiere'!$B$5:$E$10,4,FALSE)</f>
        <v>0</v>
      </c>
      <c r="H46" s="541">
        <f t="shared" si="0"/>
        <v>0</v>
      </c>
      <c r="I46" s="541">
        <f t="shared" si="1"/>
        <v>0</v>
      </c>
      <c r="J46" s="541">
        <f t="shared" si="2"/>
        <v>0</v>
      </c>
    </row>
    <row r="47" spans="1:10" ht="15.75">
      <c r="A47" s="859"/>
      <c r="B47" s="860" t="s">
        <v>163</v>
      </c>
      <c r="C47" s="861">
        <v>0</v>
      </c>
      <c r="D47" s="861">
        <v>0</v>
      </c>
      <c r="E47" s="235">
        <f>IF(OR(B47="Kuhmilch"),D47/6.38*10,IF(OR(B47="Ziegenmilch"),D47/6.38*10,VLOOKUP(B47,'Daten Tiere'!$B$5:$E$10,2,FALSE)))</f>
        <v>0</v>
      </c>
      <c r="F47" s="235">
        <f>VLOOKUP(B47,'Daten Tiere'!$B$5:$E$10,3,FALSE)</f>
        <v>0</v>
      </c>
      <c r="G47" s="235">
        <f>VLOOKUP(B47,'Daten Tiere'!$B$5:$E$10,4,FALSE)</f>
        <v>0</v>
      </c>
      <c r="H47" s="541">
        <f t="shared" si="0"/>
        <v>0</v>
      </c>
      <c r="I47" s="541">
        <f t="shared" si="1"/>
        <v>0</v>
      </c>
      <c r="J47" s="541">
        <f t="shared" si="2"/>
        <v>0</v>
      </c>
    </row>
    <row r="48" spans="1:10" ht="15.75">
      <c r="A48" s="859"/>
      <c r="B48" s="860" t="s">
        <v>163</v>
      </c>
      <c r="C48" s="861">
        <v>0</v>
      </c>
      <c r="D48" s="861">
        <v>0</v>
      </c>
      <c r="E48" s="235">
        <f>IF(OR(B48="Kuhmilch"),D48/6.38*10,IF(OR(B48="Ziegenmilch"),D48/6.38*10,VLOOKUP(B48,'Daten Tiere'!$B$5:$E$10,2,FALSE)))</f>
        <v>0</v>
      </c>
      <c r="F48" s="235">
        <f>VLOOKUP(B48,'Daten Tiere'!$B$5:$E$10,3,FALSE)</f>
        <v>0</v>
      </c>
      <c r="G48" s="235">
        <f>VLOOKUP(B48,'Daten Tiere'!$B$5:$E$10,4,FALSE)</f>
        <v>0</v>
      </c>
      <c r="H48" s="541">
        <f t="shared" si="0"/>
        <v>0</v>
      </c>
      <c r="I48" s="541">
        <f t="shared" si="1"/>
        <v>0</v>
      </c>
      <c r="J48" s="541">
        <f t="shared" si="2"/>
        <v>0</v>
      </c>
    </row>
    <row r="49" spans="1:10" ht="15.75">
      <c r="A49" s="859"/>
      <c r="B49" s="860" t="s">
        <v>163</v>
      </c>
      <c r="C49" s="861">
        <v>0</v>
      </c>
      <c r="D49" s="861">
        <v>0</v>
      </c>
      <c r="E49" s="235">
        <f>IF(OR(B49="Kuhmilch"),D49/6.38*10,IF(OR(B49="Ziegenmilch"),D49/6.38*10,VLOOKUP(B49,'Daten Tiere'!$B$5:$E$10,2,FALSE)))</f>
        <v>0</v>
      </c>
      <c r="F49" s="235">
        <f>VLOOKUP(B49,'Daten Tiere'!$B$5:$E$10,3,FALSE)</f>
        <v>0</v>
      </c>
      <c r="G49" s="235">
        <f>VLOOKUP(B49,'Daten Tiere'!$B$5:$E$10,4,FALSE)</f>
        <v>0</v>
      </c>
      <c r="H49" s="541">
        <f t="shared" si="0"/>
        <v>0</v>
      </c>
      <c r="I49" s="541">
        <f t="shared" si="1"/>
        <v>0</v>
      </c>
      <c r="J49" s="541">
        <f t="shared" si="2"/>
        <v>0</v>
      </c>
    </row>
    <row r="50" spans="1:10" ht="15.75">
      <c r="A50" s="859"/>
      <c r="B50" s="860" t="s">
        <v>163</v>
      </c>
      <c r="C50" s="861">
        <v>0</v>
      </c>
      <c r="D50" s="861">
        <v>0</v>
      </c>
      <c r="E50" s="235">
        <f>IF(OR(B50="Kuhmilch"),D50/6.38*10,IF(OR(B50="Ziegenmilch"),D50/6.38*10,VLOOKUP(B50,'Daten Tiere'!$B$5:$E$10,2,FALSE)))</f>
        <v>0</v>
      </c>
      <c r="F50" s="235">
        <f>VLOOKUP(B50,'Daten Tiere'!$B$5:$E$10,3,FALSE)</f>
        <v>0</v>
      </c>
      <c r="G50" s="235">
        <f>VLOOKUP(B50,'Daten Tiere'!$B$5:$E$10,4,FALSE)</f>
        <v>0</v>
      </c>
      <c r="H50" s="541">
        <f t="shared" si="0"/>
        <v>0</v>
      </c>
      <c r="I50" s="541">
        <f t="shared" si="1"/>
        <v>0</v>
      </c>
      <c r="J50" s="541">
        <f t="shared" si="2"/>
        <v>0</v>
      </c>
    </row>
    <row r="51" spans="1:10" ht="15.75">
      <c r="A51" s="859"/>
      <c r="B51" s="860" t="s">
        <v>163</v>
      </c>
      <c r="C51" s="861">
        <v>0</v>
      </c>
      <c r="D51" s="861">
        <v>0</v>
      </c>
      <c r="E51" s="235">
        <f>IF(OR(B51="Kuhmilch"),D51/6.38*10,IF(OR(B51="Ziegenmilch"),D51/6.38*10,VLOOKUP(B51,'Daten Tiere'!$B$5:$E$10,2,FALSE)))</f>
        <v>0</v>
      </c>
      <c r="F51" s="235">
        <f>VLOOKUP(B51,'Daten Tiere'!$B$5:$E$10,3,FALSE)</f>
        <v>0</v>
      </c>
      <c r="G51" s="235">
        <f>VLOOKUP(B51,'Daten Tiere'!$B$5:$E$10,4,FALSE)</f>
        <v>0</v>
      </c>
      <c r="H51" s="541">
        <f t="shared" si="0"/>
        <v>0</v>
      </c>
      <c r="I51" s="541">
        <f t="shared" si="1"/>
        <v>0</v>
      </c>
      <c r="J51" s="541">
        <f t="shared" si="2"/>
        <v>0</v>
      </c>
    </row>
    <row r="52" spans="1:10" ht="15.75">
      <c r="A52" s="859"/>
      <c r="B52" s="860" t="s">
        <v>163</v>
      </c>
      <c r="C52" s="861">
        <v>0</v>
      </c>
      <c r="D52" s="861">
        <v>0</v>
      </c>
      <c r="E52" s="235">
        <f>IF(OR(B52="Kuhmilch"),D52/6.38*10,IF(OR(B52="Ziegenmilch"),D52/6.38*10,VLOOKUP(B52,'Daten Tiere'!$B$5:$E$10,2,FALSE)))</f>
        <v>0</v>
      </c>
      <c r="F52" s="235">
        <f>VLOOKUP(B52,'Daten Tiere'!$B$5:$E$10,3,FALSE)</f>
        <v>0</v>
      </c>
      <c r="G52" s="235">
        <f>VLOOKUP(B52,'Daten Tiere'!$B$5:$E$10,4,FALSE)</f>
        <v>0</v>
      </c>
      <c r="H52" s="541">
        <f t="shared" si="0"/>
        <v>0</v>
      </c>
      <c r="I52" s="541">
        <f t="shared" si="1"/>
        <v>0</v>
      </c>
      <c r="J52" s="541">
        <f t="shared" si="2"/>
        <v>0</v>
      </c>
    </row>
    <row r="53" spans="1:10" ht="15.75">
      <c r="A53" s="859"/>
      <c r="B53" s="860" t="s">
        <v>163</v>
      </c>
      <c r="C53" s="861">
        <v>0</v>
      </c>
      <c r="D53" s="861">
        <v>0</v>
      </c>
      <c r="E53" s="235">
        <f>IF(OR(B53="Kuhmilch"),D53/6.38*10,IF(OR(B53="Ziegenmilch"),D53/6.38*10,VLOOKUP(B53,'Daten Tiere'!$B$5:$E$10,2,FALSE)))</f>
        <v>0</v>
      </c>
      <c r="F53" s="235">
        <f>VLOOKUP(B53,'Daten Tiere'!$B$5:$E$10,3,FALSE)</f>
        <v>0</v>
      </c>
      <c r="G53" s="235">
        <f>VLOOKUP(B53,'Daten Tiere'!$B$5:$E$10,4,FALSE)</f>
        <v>0</v>
      </c>
      <c r="H53" s="541">
        <f t="shared" si="0"/>
        <v>0</v>
      </c>
      <c r="I53" s="541">
        <f t="shared" si="1"/>
        <v>0</v>
      </c>
      <c r="J53" s="541">
        <f t="shared" si="2"/>
        <v>0</v>
      </c>
    </row>
    <row r="54" spans="1:10" ht="15.75">
      <c r="A54" s="859"/>
      <c r="B54" s="860" t="s">
        <v>163</v>
      </c>
      <c r="C54" s="861">
        <v>0</v>
      </c>
      <c r="D54" s="861">
        <v>0</v>
      </c>
      <c r="E54" s="235">
        <f>IF(OR(B54="Kuhmilch"),D54/6.38*10,IF(OR(B54="Ziegenmilch"),D54/6.38*10,VLOOKUP(B54,'Daten Tiere'!$B$5:$E$10,2,FALSE)))</f>
        <v>0</v>
      </c>
      <c r="F54" s="235">
        <f>VLOOKUP(B54,'Daten Tiere'!$B$5:$E$10,3,FALSE)</f>
        <v>0</v>
      </c>
      <c r="G54" s="235">
        <f>VLOOKUP(B54,'Daten Tiere'!$B$5:$E$10,4,FALSE)</f>
        <v>0</v>
      </c>
      <c r="H54" s="541">
        <f t="shared" si="0"/>
        <v>0</v>
      </c>
      <c r="I54" s="541">
        <f t="shared" si="1"/>
        <v>0</v>
      </c>
      <c r="J54" s="541">
        <f t="shared" si="2"/>
        <v>0</v>
      </c>
    </row>
    <row r="55" spans="1:10" ht="15.75">
      <c r="A55" s="859"/>
      <c r="B55" s="860" t="s">
        <v>163</v>
      </c>
      <c r="C55" s="861">
        <v>0</v>
      </c>
      <c r="D55" s="861">
        <v>0</v>
      </c>
      <c r="E55" s="235">
        <f>IF(OR(B55="Kuhmilch"),D55/6.38*10,IF(OR(B55="Ziegenmilch"),D55/6.38*10,VLOOKUP(B55,'Daten Tiere'!$B$5:$E$10,2,FALSE)))</f>
        <v>0</v>
      </c>
      <c r="F55" s="235">
        <f>VLOOKUP(B55,'Daten Tiere'!$B$5:$E$10,3,FALSE)</f>
        <v>0</v>
      </c>
      <c r="G55" s="235">
        <f>VLOOKUP(B55,'Daten Tiere'!$B$5:$E$10,4,FALSE)</f>
        <v>0</v>
      </c>
      <c r="H55" s="541">
        <f t="shared" si="0"/>
        <v>0</v>
      </c>
      <c r="I55" s="541">
        <f t="shared" si="1"/>
        <v>0</v>
      </c>
      <c r="J55" s="541">
        <f t="shared" si="2"/>
        <v>0</v>
      </c>
    </row>
    <row r="56" spans="1:10" ht="15.75">
      <c r="A56" s="859"/>
      <c r="B56" s="860" t="s">
        <v>163</v>
      </c>
      <c r="C56" s="861">
        <v>0</v>
      </c>
      <c r="D56" s="861">
        <v>0</v>
      </c>
      <c r="E56" s="235">
        <f>IF(OR(B56="Kuhmilch"),D56/6.38*10,IF(OR(B56="Ziegenmilch"),D56/6.38*10,VLOOKUP(B56,'Daten Tiere'!$B$5:$E$10,2,FALSE)))</f>
        <v>0</v>
      </c>
      <c r="F56" s="235">
        <f>VLOOKUP(B56,'Daten Tiere'!$B$5:$E$10,3,FALSE)</f>
        <v>0</v>
      </c>
      <c r="G56" s="235">
        <f>VLOOKUP(B56,'Daten Tiere'!$B$5:$E$10,4,FALSE)</f>
        <v>0</v>
      </c>
      <c r="H56" s="541">
        <f t="shared" si="0"/>
        <v>0</v>
      </c>
      <c r="I56" s="541">
        <f t="shared" si="1"/>
        <v>0</v>
      </c>
      <c r="J56" s="541">
        <f t="shared" si="2"/>
        <v>0</v>
      </c>
    </row>
    <row r="57" spans="1:10" ht="15.75">
      <c r="A57" s="859"/>
      <c r="B57" s="860" t="s">
        <v>163</v>
      </c>
      <c r="C57" s="861">
        <v>0</v>
      </c>
      <c r="D57" s="861">
        <v>0</v>
      </c>
      <c r="E57" s="235">
        <f>IF(OR(B57="Kuhmilch"),D57/6.38*10,IF(OR(B57="Ziegenmilch"),D57/6.38*10,VLOOKUP(B57,'Daten Tiere'!$B$5:$E$10,2,FALSE)))</f>
        <v>0</v>
      </c>
      <c r="F57" s="235">
        <f>VLOOKUP(B57,'Daten Tiere'!$B$5:$E$10,3,FALSE)</f>
        <v>0</v>
      </c>
      <c r="G57" s="235">
        <f>VLOOKUP(B57,'Daten Tiere'!$B$5:$E$10,4,FALSE)</f>
        <v>0</v>
      </c>
      <c r="H57" s="541">
        <f t="shared" si="0"/>
        <v>0</v>
      </c>
      <c r="I57" s="541">
        <f t="shared" si="1"/>
        <v>0</v>
      </c>
      <c r="J57" s="541">
        <f t="shared" si="2"/>
        <v>0</v>
      </c>
    </row>
    <row r="58" spans="1:10" ht="15.75">
      <c r="A58" s="859"/>
      <c r="B58" s="860" t="s">
        <v>163</v>
      </c>
      <c r="C58" s="861">
        <v>0</v>
      </c>
      <c r="D58" s="861">
        <v>0</v>
      </c>
      <c r="E58" s="235">
        <f>IF(OR(B58="Kuhmilch"),D58/6.38*10,IF(OR(B58="Ziegenmilch"),D58/6.38*10,VLOOKUP(B58,'Daten Tiere'!$B$5:$E$10,2,FALSE)))</f>
        <v>0</v>
      </c>
      <c r="F58" s="235">
        <f>VLOOKUP(B58,'Daten Tiere'!$B$5:$E$10,3,FALSE)</f>
        <v>0</v>
      </c>
      <c r="G58" s="235">
        <f>VLOOKUP(B58,'Daten Tiere'!$B$5:$E$10,4,FALSE)</f>
        <v>0</v>
      </c>
      <c r="H58" s="541">
        <f t="shared" si="0"/>
        <v>0</v>
      </c>
      <c r="I58" s="541">
        <f t="shared" si="1"/>
        <v>0</v>
      </c>
      <c r="J58" s="541">
        <f t="shared" si="2"/>
        <v>0</v>
      </c>
    </row>
    <row r="59" spans="1:10" ht="15.75">
      <c r="A59" s="859"/>
      <c r="B59" s="860" t="s">
        <v>163</v>
      </c>
      <c r="C59" s="861">
        <v>0</v>
      </c>
      <c r="D59" s="861">
        <v>0</v>
      </c>
      <c r="E59" s="235">
        <f>IF(OR(B59="Kuhmilch"),D59/6.38*10,IF(OR(B59="Ziegenmilch"),D59/6.38*10,VLOOKUP(B59,'Daten Tiere'!$B$5:$E$10,2,FALSE)))</f>
        <v>0</v>
      </c>
      <c r="F59" s="235">
        <f>VLOOKUP(B59,'Daten Tiere'!$B$5:$E$10,3,FALSE)</f>
        <v>0</v>
      </c>
      <c r="G59" s="235">
        <f>VLOOKUP(B59,'Daten Tiere'!$B$5:$E$10,4,FALSE)</f>
        <v>0</v>
      </c>
      <c r="H59" s="541">
        <f t="shared" si="0"/>
        <v>0</v>
      </c>
      <c r="I59" s="541">
        <f t="shared" si="1"/>
        <v>0</v>
      </c>
      <c r="J59" s="541">
        <f t="shared" si="2"/>
        <v>0</v>
      </c>
    </row>
    <row r="60" spans="1:10" ht="15.75">
      <c r="A60" s="859"/>
      <c r="B60" s="860" t="s">
        <v>163</v>
      </c>
      <c r="C60" s="861">
        <v>0</v>
      </c>
      <c r="D60" s="861">
        <v>0</v>
      </c>
      <c r="E60" s="235">
        <f>IF(OR(B60="Kuhmilch"),D60/6.38*10,IF(OR(B60="Ziegenmilch"),D60/6.38*10,VLOOKUP(B60,'Daten Tiere'!$B$5:$E$10,2,FALSE)))</f>
        <v>0</v>
      </c>
      <c r="F60" s="235">
        <f>VLOOKUP(B60,'Daten Tiere'!$B$5:$E$10,3,FALSE)</f>
        <v>0</v>
      </c>
      <c r="G60" s="235">
        <f>VLOOKUP(B60,'Daten Tiere'!$B$5:$E$10,4,FALSE)</f>
        <v>0</v>
      </c>
      <c r="H60" s="541">
        <f t="shared" si="0"/>
        <v>0</v>
      </c>
      <c r="I60" s="541">
        <f t="shared" si="1"/>
        <v>0</v>
      </c>
      <c r="J60" s="541">
        <f t="shared" si="2"/>
        <v>0</v>
      </c>
    </row>
    <row r="61" spans="1:10" ht="15.75">
      <c r="A61" s="862"/>
      <c r="B61" s="860" t="s">
        <v>163</v>
      </c>
      <c r="C61" s="861">
        <v>0</v>
      </c>
      <c r="D61" s="861">
        <v>0</v>
      </c>
      <c r="E61" s="235">
        <f>IF(OR(B61="Kuhmilch"),D61/6.38*10,IF(OR(B61="Ziegenmilch"),D61/6.38*10,VLOOKUP(B61,'Daten Tiere'!$B$5:$E$10,2,FALSE)))</f>
        <v>0</v>
      </c>
      <c r="F61" s="235">
        <f>VLOOKUP(B61,'Daten Tiere'!$B$5:$E$10,3,FALSE)</f>
        <v>0</v>
      </c>
      <c r="G61" s="235">
        <f>VLOOKUP(B61,'Daten Tiere'!$B$5:$E$10,4,FALSE)</f>
        <v>0</v>
      </c>
      <c r="H61" s="541">
        <f t="shared" ref="H61" si="3">IF(B61="Hühnerei",(C61*D61/1000000*E61),C61/1000*E61)</f>
        <v>0</v>
      </c>
      <c r="I61" s="541">
        <f t="shared" ref="I61" si="4">IF(B61="Hühnerei",C61*D61/1000000*F61,C61*F61/1000)</f>
        <v>0</v>
      </c>
      <c r="J61" s="541">
        <f t="shared" ref="J61" si="5">IF(B61="Hühnerei",C61*D61/1000000*G61,C61*G61/1000)</f>
        <v>0</v>
      </c>
    </row>
    <row r="62" spans="1:10" s="767" customFormat="1" ht="18.75" customHeight="1">
      <c r="A62" s="769"/>
      <c r="B62" s="769"/>
      <c r="C62" s="769"/>
      <c r="D62" s="769"/>
      <c r="E62" s="769"/>
      <c r="F62" s="769"/>
      <c r="G62" s="769" t="s">
        <v>38</v>
      </c>
      <c r="H62" s="770">
        <f>SUM(H6:H61)</f>
        <v>0</v>
      </c>
      <c r="I62" s="770">
        <f>SUM(I6:I61)</f>
        <v>0</v>
      </c>
      <c r="J62" s="770">
        <f>SUM(J6:J61)</f>
        <v>0</v>
      </c>
    </row>
    <row r="65" spans="1:10" s="135" customFormat="1">
      <c r="A65"/>
      <c r="B65"/>
      <c r="C65"/>
      <c r="D65"/>
      <c r="E65"/>
      <c r="F65"/>
      <c r="G65"/>
      <c r="H65"/>
      <c r="I65"/>
      <c r="J65"/>
    </row>
  </sheetData>
  <sheetProtection sheet="1" objects="1" scenarios="1" formatColumns="0" formatRows="0" selectLockedCells="1"/>
  <mergeCells count="3">
    <mergeCell ref="E4:G4"/>
    <mergeCell ref="H4:J4"/>
    <mergeCell ref="B1:E2"/>
  </mergeCells>
  <dataValidations count="1">
    <dataValidation type="list" allowBlank="1" showInputMessage="1" showErrorMessage="1" sqref="B6:B61">
      <formula1>Tierprodukt</formula1>
    </dataValidation>
  </dataValidation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9" tint="0.59999389629810485"/>
  </sheetPr>
  <dimension ref="A1:L123"/>
  <sheetViews>
    <sheetView zoomScaleNormal="100" workbookViewId="0">
      <selection activeCell="B9" sqref="B9"/>
    </sheetView>
  </sheetViews>
  <sheetFormatPr baseColWidth="10" defaultRowHeight="15.75"/>
  <cols>
    <col min="1" max="1" width="4.140625" style="797" customWidth="1"/>
    <col min="2" max="2" width="14.140625" style="68" customWidth="1"/>
    <col min="3" max="3" width="61.7109375" style="68" bestFit="1" customWidth="1"/>
    <col min="4" max="4" width="25.140625" style="68" customWidth="1"/>
    <col min="5" max="5" width="10.5703125" style="68" customWidth="1"/>
    <col min="6" max="8" width="9.5703125" style="68" customWidth="1"/>
    <col min="9" max="16384" width="11.42578125" style="68"/>
  </cols>
  <sheetData>
    <row r="1" spans="1:11" ht="15.75" customHeight="1">
      <c r="B1" s="1221" t="s">
        <v>130</v>
      </c>
      <c r="C1" s="1221"/>
      <c r="D1" s="1221"/>
      <c r="E1" s="1221"/>
      <c r="F1" s="366"/>
      <c r="G1" s="366"/>
    </row>
    <row r="2" spans="1:11" ht="15.75" customHeight="1">
      <c r="B2" s="1221"/>
      <c r="C2" s="1221"/>
      <c r="D2" s="1221"/>
      <c r="E2" s="1221"/>
      <c r="F2" s="366"/>
      <c r="G2" s="366"/>
      <c r="H2" s="109"/>
      <c r="I2" s="109"/>
      <c r="J2" s="109"/>
    </row>
    <row r="3" spans="1:11" ht="15.75" customHeight="1">
      <c r="B3" s="1221"/>
      <c r="C3" s="1221"/>
      <c r="D3" s="1221"/>
      <c r="E3" s="1221"/>
      <c r="F3" s="366"/>
      <c r="G3" s="366"/>
      <c r="H3" s="109"/>
      <c r="I3" s="109"/>
      <c r="J3" s="109"/>
    </row>
    <row r="4" spans="1:11" s="13" customFormat="1" ht="15">
      <c r="A4" s="801"/>
      <c r="C4" s="345"/>
    </row>
    <row r="5" spans="1:11" s="13" customFormat="1" ht="15">
      <c r="A5" s="801"/>
      <c r="C5" s="1408" t="s">
        <v>1149</v>
      </c>
      <c r="D5" s="1411" t="s">
        <v>550</v>
      </c>
      <c r="E5" s="1285" t="s">
        <v>133</v>
      </c>
      <c r="F5" s="1410" t="s">
        <v>132</v>
      </c>
      <c r="G5" s="1306"/>
      <c r="H5" s="1307"/>
      <c r="I5" s="1308" t="s">
        <v>444</v>
      </c>
      <c r="J5" s="1306"/>
      <c r="K5" s="1307"/>
    </row>
    <row r="6" spans="1:11" s="13" customFormat="1" ht="28.5" customHeight="1">
      <c r="A6" s="801" t="s">
        <v>327</v>
      </c>
      <c r="B6" s="335" t="s">
        <v>351</v>
      </c>
      <c r="C6" s="1409"/>
      <c r="D6" s="1360"/>
      <c r="E6" s="1285"/>
      <c r="F6" s="330" t="s">
        <v>16</v>
      </c>
      <c r="G6" s="344" t="s">
        <v>113</v>
      </c>
      <c r="H6" s="333" t="s">
        <v>114</v>
      </c>
      <c r="I6" s="333" t="s">
        <v>16</v>
      </c>
      <c r="J6" s="333" t="s">
        <v>113</v>
      </c>
      <c r="K6" s="333" t="s">
        <v>114</v>
      </c>
    </row>
    <row r="7" spans="1:11" s="13" customFormat="1" ht="15">
      <c r="A7" s="801">
        <f>VLOOKUP(C7,'Daten Futtermittel Saatgut'!$B$7:$K$75,2,FALSE)</f>
        <v>0</v>
      </c>
      <c r="B7" s="819"/>
      <c r="C7" s="853" t="s">
        <v>163</v>
      </c>
      <c r="D7" s="821">
        <v>0</v>
      </c>
      <c r="E7" s="844">
        <v>0</v>
      </c>
      <c r="F7" s="310">
        <f>IF(A7=5.7,0.86*D7/5.7,IF(A7=6.25,0.86*D7/6.25,VLOOKUP(C7,'Daten Futtermittel Saatgut'!$B$7:$K$75,8,FALSE)))</f>
        <v>0</v>
      </c>
      <c r="G7" s="346">
        <f>VLOOKUP($C$7,'Daten Futtermittel Saatgut'!$B$7:$K$75,9,FALSE)</f>
        <v>0</v>
      </c>
      <c r="H7" s="346">
        <f>VLOOKUP(C7,'Daten Futtermittel Saatgut'!$B$7:$K$75,10,FALSE)</f>
        <v>0</v>
      </c>
      <c r="I7" s="347">
        <f>$E$7*F7</f>
        <v>0</v>
      </c>
      <c r="J7" s="347">
        <f>E7*G7</f>
        <v>0</v>
      </c>
      <c r="K7" s="347">
        <f>E7*H7</f>
        <v>0</v>
      </c>
    </row>
    <row r="8" spans="1:11" s="13" customFormat="1" ht="15">
      <c r="A8" s="801">
        <f>VLOOKUP(C8,'Daten Futtermittel Saatgut'!$B$7:$K$75,2,FALSE)</f>
        <v>0</v>
      </c>
      <c r="B8" s="819"/>
      <c r="C8" s="853" t="s">
        <v>163</v>
      </c>
      <c r="D8" s="821">
        <v>0</v>
      </c>
      <c r="E8" s="844">
        <v>0</v>
      </c>
      <c r="F8" s="310">
        <f>IF(A8=5.7,0.86*D8/5.7,IF(A8=6.25,0.86*D8/6.25,VLOOKUP(C8,'Daten Futtermittel Saatgut'!$B$7:$K$75,8,FALSE)))</f>
        <v>0</v>
      </c>
      <c r="G8" s="346">
        <f>VLOOKUP(C8,'Daten Futtermittel Saatgut'!$B$7:$K$75,9,FALSE)</f>
        <v>0</v>
      </c>
      <c r="H8" s="346">
        <f>VLOOKUP(C8,'Daten Futtermittel Saatgut'!$B$7:$K$75,10,FALSE)</f>
        <v>0</v>
      </c>
      <c r="I8" s="347">
        <f t="shared" ref="I8:I61" si="0">E8*F8</f>
        <v>0</v>
      </c>
      <c r="J8" s="347">
        <f t="shared" ref="J8:J61" si="1">E8*G8</f>
        <v>0</v>
      </c>
      <c r="K8" s="347">
        <f t="shared" ref="K8:K61" si="2">E8*H8</f>
        <v>0</v>
      </c>
    </row>
    <row r="9" spans="1:11" s="13" customFormat="1" ht="15">
      <c r="A9" s="801">
        <f>VLOOKUP(C9,'Daten Futtermittel Saatgut'!$B$7:$K$75,2,FALSE)</f>
        <v>0</v>
      </c>
      <c r="B9" s="819"/>
      <c r="C9" s="853" t="s">
        <v>163</v>
      </c>
      <c r="D9" s="821">
        <v>0</v>
      </c>
      <c r="E9" s="844">
        <v>0</v>
      </c>
      <c r="F9" s="310">
        <f>IF(A9=5.7,0.86*D9/5.7,IF(A9=6.25,0.86*D9/6.25,VLOOKUP(C9,'Daten Futtermittel Saatgut'!$B$7:$K$75,8,FALSE)))</f>
        <v>0</v>
      </c>
      <c r="G9" s="346">
        <f>VLOOKUP(C9,'Daten Futtermittel Saatgut'!$B$7:$K$75,9,FALSE)</f>
        <v>0</v>
      </c>
      <c r="H9" s="346">
        <f>VLOOKUP(C9,'Daten Futtermittel Saatgut'!$B$7:$K$75,10,FALSE)</f>
        <v>0</v>
      </c>
      <c r="I9" s="347">
        <f t="shared" si="0"/>
        <v>0</v>
      </c>
      <c r="J9" s="347">
        <f t="shared" si="1"/>
        <v>0</v>
      </c>
      <c r="K9" s="347">
        <f t="shared" si="2"/>
        <v>0</v>
      </c>
    </row>
    <row r="10" spans="1:11" s="13" customFormat="1" ht="15">
      <c r="A10" s="801">
        <f>VLOOKUP(C10,'Daten Futtermittel Saatgut'!$B$7:$K$75,2,FALSE)</f>
        <v>0</v>
      </c>
      <c r="B10" s="819"/>
      <c r="C10" s="853" t="s">
        <v>163</v>
      </c>
      <c r="D10" s="821">
        <v>0</v>
      </c>
      <c r="E10" s="844">
        <v>0</v>
      </c>
      <c r="F10" s="310">
        <f>IF(A10=5.7,0.86*D10/5.7,IF(A10=6.25,0.86*D10/6.25,VLOOKUP(C10,'Daten Futtermittel Saatgut'!$B$7:$K$75,8,FALSE)))</f>
        <v>0</v>
      </c>
      <c r="G10" s="346">
        <f>VLOOKUP(C10,'Daten Futtermittel Saatgut'!$B$7:$K$75,9,FALSE)</f>
        <v>0</v>
      </c>
      <c r="H10" s="346">
        <f>VLOOKUP(C10,'Daten Futtermittel Saatgut'!$B$7:$K$75,10,FALSE)</f>
        <v>0</v>
      </c>
      <c r="I10" s="347">
        <f t="shared" si="0"/>
        <v>0</v>
      </c>
      <c r="J10" s="347">
        <f t="shared" si="1"/>
        <v>0</v>
      </c>
      <c r="K10" s="347">
        <f t="shared" si="2"/>
        <v>0</v>
      </c>
    </row>
    <row r="11" spans="1:11" s="13" customFormat="1" ht="15">
      <c r="A11" s="801">
        <f>VLOOKUP(C11,'Daten Futtermittel Saatgut'!$B$7:$K$75,2,FALSE)</f>
        <v>0</v>
      </c>
      <c r="B11" s="819"/>
      <c r="C11" s="853" t="s">
        <v>163</v>
      </c>
      <c r="D11" s="821">
        <v>0</v>
      </c>
      <c r="E11" s="844">
        <v>0</v>
      </c>
      <c r="F11" s="310">
        <f>IF(A11=5.7,0.86*D11/5.7,IF(A11=6.25,0.86*D11/6.25,VLOOKUP(C11,'Daten Futtermittel Saatgut'!$B$7:$K$75,8,FALSE)))</f>
        <v>0</v>
      </c>
      <c r="G11" s="346">
        <f>VLOOKUP(C11,'Daten Futtermittel Saatgut'!$B$7:$K$75,9,FALSE)</f>
        <v>0</v>
      </c>
      <c r="H11" s="346">
        <f>VLOOKUP(C11,'Daten Futtermittel Saatgut'!$B$7:$K$75,10,FALSE)</f>
        <v>0</v>
      </c>
      <c r="I11" s="347">
        <f t="shared" si="0"/>
        <v>0</v>
      </c>
      <c r="J11" s="347">
        <f t="shared" si="1"/>
        <v>0</v>
      </c>
      <c r="K11" s="347">
        <f t="shared" si="2"/>
        <v>0</v>
      </c>
    </row>
    <row r="12" spans="1:11" s="13" customFormat="1" ht="15">
      <c r="A12" s="801">
        <f>VLOOKUP(C12,'Daten Futtermittel Saatgut'!$B$7:$K$75,2,FALSE)</f>
        <v>0</v>
      </c>
      <c r="B12" s="819"/>
      <c r="C12" s="853" t="s">
        <v>163</v>
      </c>
      <c r="D12" s="821">
        <v>0</v>
      </c>
      <c r="E12" s="844">
        <v>0</v>
      </c>
      <c r="F12" s="310">
        <f>IF(A12=5.7,0.86*D12/5.7,IF(A12=6.25,0.86*D12/6.25,VLOOKUP(C12,'Daten Futtermittel Saatgut'!$B$7:$K$75,8,FALSE)))</f>
        <v>0</v>
      </c>
      <c r="G12" s="346">
        <f>VLOOKUP(C12,'Daten Futtermittel Saatgut'!$B$7:$K$75,9,FALSE)</f>
        <v>0</v>
      </c>
      <c r="H12" s="346">
        <f>VLOOKUP(C12,'Daten Futtermittel Saatgut'!$B$7:$K$75,10,FALSE)</f>
        <v>0</v>
      </c>
      <c r="I12" s="347">
        <f t="shared" si="0"/>
        <v>0</v>
      </c>
      <c r="J12" s="347">
        <f t="shared" si="1"/>
        <v>0</v>
      </c>
      <c r="K12" s="347">
        <f t="shared" si="2"/>
        <v>0</v>
      </c>
    </row>
    <row r="13" spans="1:11" s="13" customFormat="1" ht="15">
      <c r="A13" s="801">
        <f>VLOOKUP(C13,'Daten Futtermittel Saatgut'!$B$7:$K$75,2,FALSE)</f>
        <v>0</v>
      </c>
      <c r="B13" s="819"/>
      <c r="C13" s="853" t="s">
        <v>163</v>
      </c>
      <c r="D13" s="821">
        <v>0</v>
      </c>
      <c r="E13" s="844">
        <v>0</v>
      </c>
      <c r="F13" s="310">
        <f>IF(A13=5.7,0.86*D13/5.7,IF(A13=6.25,0.86*D13/6.25,VLOOKUP(C13,'Daten Futtermittel Saatgut'!$B$7:$K$75,8,FALSE)))</f>
        <v>0</v>
      </c>
      <c r="G13" s="346">
        <f>VLOOKUP(C13,'Daten Futtermittel Saatgut'!$B$7:$K$75,9,FALSE)</f>
        <v>0</v>
      </c>
      <c r="H13" s="346">
        <f>VLOOKUP(C13,'Daten Futtermittel Saatgut'!$B$7:$K$75,10,FALSE)</f>
        <v>0</v>
      </c>
      <c r="I13" s="347">
        <f t="shared" si="0"/>
        <v>0</v>
      </c>
      <c r="J13" s="347">
        <f t="shared" si="1"/>
        <v>0</v>
      </c>
      <c r="K13" s="347">
        <f t="shared" si="2"/>
        <v>0</v>
      </c>
    </row>
    <row r="14" spans="1:11" s="13" customFormat="1" ht="15">
      <c r="A14" s="801">
        <f>VLOOKUP(C14,'Daten Futtermittel Saatgut'!$B$7:$K$75,2,FALSE)</f>
        <v>0</v>
      </c>
      <c r="B14" s="819"/>
      <c r="C14" s="853" t="s">
        <v>163</v>
      </c>
      <c r="D14" s="821">
        <v>0</v>
      </c>
      <c r="E14" s="844">
        <v>0</v>
      </c>
      <c r="F14" s="310">
        <f>IF(A14=5.7,0.86*D14/5.7,IF(A14=6.25,0.86*D14/6.25,VLOOKUP(C14,'Daten Futtermittel Saatgut'!$B$7:$K$75,8,FALSE)))</f>
        <v>0</v>
      </c>
      <c r="G14" s="346">
        <f>VLOOKUP(C14,'Daten Futtermittel Saatgut'!$B$7:$K$75,9,FALSE)</f>
        <v>0</v>
      </c>
      <c r="H14" s="346">
        <f>VLOOKUP(C14,'Daten Futtermittel Saatgut'!$B$7:$K$75,10,FALSE)</f>
        <v>0</v>
      </c>
      <c r="I14" s="347">
        <f t="shared" si="0"/>
        <v>0</v>
      </c>
      <c r="J14" s="347">
        <f t="shared" si="1"/>
        <v>0</v>
      </c>
      <c r="K14" s="347">
        <f t="shared" si="2"/>
        <v>0</v>
      </c>
    </row>
    <row r="15" spans="1:11" s="13" customFormat="1" ht="15">
      <c r="A15" s="801">
        <f>VLOOKUP(C15,'Daten Futtermittel Saatgut'!$B$7:$K$75,2,FALSE)</f>
        <v>0</v>
      </c>
      <c r="B15" s="819"/>
      <c r="C15" s="853" t="s">
        <v>163</v>
      </c>
      <c r="D15" s="821">
        <v>0</v>
      </c>
      <c r="E15" s="844">
        <v>0</v>
      </c>
      <c r="F15" s="310">
        <f>IF(A15=5.7,0.86*D15/5.7,IF(A15=6.25,0.86*D15/6.25,VLOOKUP(C15,'Daten Futtermittel Saatgut'!$B$7:$K$75,8,FALSE)))</f>
        <v>0</v>
      </c>
      <c r="G15" s="346">
        <f>VLOOKUP(C15,'Daten Futtermittel Saatgut'!$B$7:$K$75,9,FALSE)</f>
        <v>0</v>
      </c>
      <c r="H15" s="346">
        <f>VLOOKUP(C15,'Daten Futtermittel Saatgut'!$B$7:$K$75,10,FALSE)</f>
        <v>0</v>
      </c>
      <c r="I15" s="347">
        <f t="shared" si="0"/>
        <v>0</v>
      </c>
      <c r="J15" s="347">
        <f t="shared" si="1"/>
        <v>0</v>
      </c>
      <c r="K15" s="347">
        <f t="shared" si="2"/>
        <v>0</v>
      </c>
    </row>
    <row r="16" spans="1:11" s="13" customFormat="1" ht="15">
      <c r="A16" s="801">
        <f>VLOOKUP(C16,'Daten Futtermittel Saatgut'!$B$7:$K$75,2,FALSE)</f>
        <v>0</v>
      </c>
      <c r="B16" s="819"/>
      <c r="C16" s="853" t="s">
        <v>163</v>
      </c>
      <c r="D16" s="821">
        <v>0</v>
      </c>
      <c r="E16" s="844">
        <v>0</v>
      </c>
      <c r="F16" s="310">
        <f>IF(A16=5.7,0.86*D16/5.7,IF(A16=6.25,0.86*D16/6.25,VLOOKUP(C16,'Daten Futtermittel Saatgut'!$B$7:$K$75,8,FALSE)))</f>
        <v>0</v>
      </c>
      <c r="G16" s="346">
        <f>VLOOKUP(C16,'Daten Futtermittel Saatgut'!$B$7:$K$75,9,FALSE)</f>
        <v>0</v>
      </c>
      <c r="H16" s="346">
        <f>VLOOKUP(C16,'Daten Futtermittel Saatgut'!$B$7:$K$75,10,FALSE)</f>
        <v>0</v>
      </c>
      <c r="I16" s="347">
        <f t="shared" si="0"/>
        <v>0</v>
      </c>
      <c r="J16" s="347">
        <f t="shared" si="1"/>
        <v>0</v>
      </c>
      <c r="K16" s="347">
        <f t="shared" si="2"/>
        <v>0</v>
      </c>
    </row>
    <row r="17" spans="1:11" s="13" customFormat="1" ht="15">
      <c r="A17" s="801">
        <f>VLOOKUP(C17,'Daten Futtermittel Saatgut'!$B$7:$K$75,2,FALSE)</f>
        <v>0</v>
      </c>
      <c r="B17" s="819"/>
      <c r="C17" s="853" t="s">
        <v>163</v>
      </c>
      <c r="D17" s="821">
        <v>0</v>
      </c>
      <c r="E17" s="844">
        <v>0</v>
      </c>
      <c r="F17" s="310">
        <f>IF(A17=5.7,0.86*D17/5.7,IF(A17=6.25,0.86*D17/6.25,VLOOKUP(C17,'Daten Futtermittel Saatgut'!$B$7:$K$75,8,FALSE)))</f>
        <v>0</v>
      </c>
      <c r="G17" s="346">
        <f>VLOOKUP(C17,'Daten Futtermittel Saatgut'!$B$7:$K$75,9,FALSE)</f>
        <v>0</v>
      </c>
      <c r="H17" s="346">
        <f>VLOOKUP(C17,'Daten Futtermittel Saatgut'!$B$7:$K$75,10,FALSE)</f>
        <v>0</v>
      </c>
      <c r="I17" s="347">
        <f t="shared" si="0"/>
        <v>0</v>
      </c>
      <c r="J17" s="347">
        <f t="shared" si="1"/>
        <v>0</v>
      </c>
      <c r="K17" s="347">
        <f t="shared" si="2"/>
        <v>0</v>
      </c>
    </row>
    <row r="18" spans="1:11" s="13" customFormat="1" ht="15">
      <c r="A18" s="801">
        <f>VLOOKUP(C18,'Daten Futtermittel Saatgut'!$B$7:$K$75,2,FALSE)</f>
        <v>0</v>
      </c>
      <c r="B18" s="819"/>
      <c r="C18" s="853" t="s">
        <v>163</v>
      </c>
      <c r="D18" s="821">
        <v>0</v>
      </c>
      <c r="E18" s="844">
        <v>0</v>
      </c>
      <c r="F18" s="310">
        <f>IF(A18=5.7,0.86*D18/5.7,IF(A18=6.25,0.86*D18/6.25,VLOOKUP(C18,'Daten Futtermittel Saatgut'!$B$7:$K$75,8,FALSE)))</f>
        <v>0</v>
      </c>
      <c r="G18" s="346">
        <f>VLOOKUP(C18,'Daten Futtermittel Saatgut'!$B$7:$K$75,9,FALSE)</f>
        <v>0</v>
      </c>
      <c r="H18" s="346">
        <f>VLOOKUP(C18,'Daten Futtermittel Saatgut'!$B$7:$K$75,10,FALSE)</f>
        <v>0</v>
      </c>
      <c r="I18" s="347">
        <f t="shared" si="0"/>
        <v>0</v>
      </c>
      <c r="J18" s="347">
        <f t="shared" si="1"/>
        <v>0</v>
      </c>
      <c r="K18" s="347">
        <f t="shared" si="2"/>
        <v>0</v>
      </c>
    </row>
    <row r="19" spans="1:11" s="13" customFormat="1" ht="15">
      <c r="A19" s="801">
        <f>VLOOKUP(C19,'Daten Futtermittel Saatgut'!$B$7:$K$75,2,FALSE)</f>
        <v>0</v>
      </c>
      <c r="B19" s="819"/>
      <c r="C19" s="853" t="s">
        <v>163</v>
      </c>
      <c r="D19" s="821">
        <v>0</v>
      </c>
      <c r="E19" s="844">
        <v>0</v>
      </c>
      <c r="F19" s="310">
        <f>IF(A19=5.7,0.86*D19/5.7,IF(A19=6.25,0.86*D19/6.25,VLOOKUP(C19,'Daten Futtermittel Saatgut'!$B$7:$K$75,8,FALSE)))</f>
        <v>0</v>
      </c>
      <c r="G19" s="346">
        <f>VLOOKUP(C19,'Daten Futtermittel Saatgut'!$B$7:$K$75,9,FALSE)</f>
        <v>0</v>
      </c>
      <c r="H19" s="346">
        <f>VLOOKUP(C19,'Daten Futtermittel Saatgut'!$B$7:$K$75,10,FALSE)</f>
        <v>0</v>
      </c>
      <c r="I19" s="347">
        <f t="shared" si="0"/>
        <v>0</v>
      </c>
      <c r="J19" s="347">
        <f t="shared" si="1"/>
        <v>0</v>
      </c>
      <c r="K19" s="347">
        <f t="shared" si="2"/>
        <v>0</v>
      </c>
    </row>
    <row r="20" spans="1:11" s="13" customFormat="1" ht="15">
      <c r="A20" s="801">
        <f>VLOOKUP(C20,'Daten Futtermittel Saatgut'!$B$7:$K$75,2,FALSE)</f>
        <v>0</v>
      </c>
      <c r="B20" s="819"/>
      <c r="C20" s="853" t="s">
        <v>163</v>
      </c>
      <c r="D20" s="821">
        <v>0</v>
      </c>
      <c r="E20" s="844">
        <v>0</v>
      </c>
      <c r="F20" s="310">
        <f>IF(A20=5.7,0.86*D20/5.7,IF(A20=6.25,0.86*D20/6.25,VLOOKUP(C20,'Daten Futtermittel Saatgut'!$B$7:$K$75,8,FALSE)))</f>
        <v>0</v>
      </c>
      <c r="G20" s="346">
        <f>VLOOKUP(C20,'Daten Futtermittel Saatgut'!$B$7:$K$75,9,FALSE)</f>
        <v>0</v>
      </c>
      <c r="H20" s="346">
        <f>VLOOKUP(C20,'Daten Futtermittel Saatgut'!$B$7:$K$75,10,FALSE)</f>
        <v>0</v>
      </c>
      <c r="I20" s="347">
        <f t="shared" si="0"/>
        <v>0</v>
      </c>
      <c r="J20" s="347">
        <f t="shared" si="1"/>
        <v>0</v>
      </c>
      <c r="K20" s="347">
        <f t="shared" si="2"/>
        <v>0</v>
      </c>
    </row>
    <row r="21" spans="1:11" s="13" customFormat="1" ht="15">
      <c r="A21" s="801">
        <f>VLOOKUP(C21,'Daten Futtermittel Saatgut'!$B$7:$K$75,2,FALSE)</f>
        <v>0</v>
      </c>
      <c r="B21" s="819"/>
      <c r="C21" s="853" t="s">
        <v>163</v>
      </c>
      <c r="D21" s="821">
        <v>0</v>
      </c>
      <c r="E21" s="844">
        <v>0</v>
      </c>
      <c r="F21" s="310">
        <f>IF(A21=5.7,0.86*D21/5.7,IF(A21=6.25,0.86*D21/6.25,VLOOKUP(C21,'Daten Futtermittel Saatgut'!$B$7:$K$75,8,FALSE)))</f>
        <v>0</v>
      </c>
      <c r="G21" s="346">
        <f>VLOOKUP(C21,'Daten Futtermittel Saatgut'!$B$7:$K$75,9,FALSE)</f>
        <v>0</v>
      </c>
      <c r="H21" s="346">
        <f>VLOOKUP(C21,'Daten Futtermittel Saatgut'!$B$7:$K$75,10,FALSE)</f>
        <v>0</v>
      </c>
      <c r="I21" s="347">
        <f t="shared" si="0"/>
        <v>0</v>
      </c>
      <c r="J21" s="347">
        <f t="shared" si="1"/>
        <v>0</v>
      </c>
      <c r="K21" s="347">
        <f t="shared" si="2"/>
        <v>0</v>
      </c>
    </row>
    <row r="22" spans="1:11" s="13" customFormat="1" ht="15">
      <c r="A22" s="801">
        <f>VLOOKUP(C22,'Daten Futtermittel Saatgut'!$B$7:$K$75,2,FALSE)</f>
        <v>0</v>
      </c>
      <c r="B22" s="819"/>
      <c r="C22" s="853" t="s">
        <v>163</v>
      </c>
      <c r="D22" s="821">
        <v>0</v>
      </c>
      <c r="E22" s="844">
        <v>0</v>
      </c>
      <c r="F22" s="310">
        <f>IF(A22=5.7,0.86*D22/5.7,IF(A22=6.25,0.86*D22/6.25,VLOOKUP(C22,'Daten Futtermittel Saatgut'!$B$7:$K$75,8,FALSE)))</f>
        <v>0</v>
      </c>
      <c r="G22" s="346">
        <f>VLOOKUP(C22,'Daten Futtermittel Saatgut'!$B$7:$K$75,9,FALSE)</f>
        <v>0</v>
      </c>
      <c r="H22" s="346">
        <f>VLOOKUP(C22,'Daten Futtermittel Saatgut'!$B$7:$K$75,10,FALSE)</f>
        <v>0</v>
      </c>
      <c r="I22" s="347">
        <f t="shared" si="0"/>
        <v>0</v>
      </c>
      <c r="J22" s="347">
        <f t="shared" si="1"/>
        <v>0</v>
      </c>
      <c r="K22" s="347">
        <f t="shared" si="2"/>
        <v>0</v>
      </c>
    </row>
    <row r="23" spans="1:11" s="13" customFormat="1" ht="15">
      <c r="A23" s="801">
        <f>VLOOKUP(C23,'Daten Futtermittel Saatgut'!$B$7:$K$75,2,FALSE)</f>
        <v>0</v>
      </c>
      <c r="B23" s="819"/>
      <c r="C23" s="853" t="s">
        <v>163</v>
      </c>
      <c r="D23" s="821">
        <v>0</v>
      </c>
      <c r="E23" s="844">
        <v>0</v>
      </c>
      <c r="F23" s="310">
        <f>IF(A23=5.7,0.86*D23/5.7,IF(A23=6.25,0.86*D23/6.25,VLOOKUP(C23,'Daten Futtermittel Saatgut'!$B$7:$K$75,8,FALSE)))</f>
        <v>0</v>
      </c>
      <c r="G23" s="346">
        <f>VLOOKUP(C23,'Daten Futtermittel Saatgut'!$B$7:$K$75,9,FALSE)</f>
        <v>0</v>
      </c>
      <c r="H23" s="346">
        <f>VLOOKUP(C23,'Daten Futtermittel Saatgut'!$B$7:$K$75,10,FALSE)</f>
        <v>0</v>
      </c>
      <c r="I23" s="347">
        <f t="shared" si="0"/>
        <v>0</v>
      </c>
      <c r="J23" s="347">
        <f t="shared" si="1"/>
        <v>0</v>
      </c>
      <c r="K23" s="347">
        <f t="shared" si="2"/>
        <v>0</v>
      </c>
    </row>
    <row r="24" spans="1:11" s="13" customFormat="1" ht="15">
      <c r="A24" s="801">
        <f>VLOOKUP(C24,'Daten Futtermittel Saatgut'!$B$7:$K$75,2,FALSE)</f>
        <v>0</v>
      </c>
      <c r="B24" s="819"/>
      <c r="C24" s="853" t="s">
        <v>163</v>
      </c>
      <c r="D24" s="821">
        <v>0</v>
      </c>
      <c r="E24" s="844">
        <v>0</v>
      </c>
      <c r="F24" s="310">
        <f>IF(A24=5.7,0.86*D24/5.7,IF(A24=6.25,0.86*D24/6.25,VLOOKUP(C24,'Daten Futtermittel Saatgut'!$B$7:$K$75,8,FALSE)))</f>
        <v>0</v>
      </c>
      <c r="G24" s="346">
        <f>VLOOKUP(C24,'Daten Futtermittel Saatgut'!$B$7:$K$75,9,FALSE)</f>
        <v>0</v>
      </c>
      <c r="H24" s="346">
        <f>VLOOKUP(C24,'Daten Futtermittel Saatgut'!$B$7:$K$75,10,FALSE)</f>
        <v>0</v>
      </c>
      <c r="I24" s="347">
        <f t="shared" si="0"/>
        <v>0</v>
      </c>
      <c r="J24" s="347">
        <f t="shared" si="1"/>
        <v>0</v>
      </c>
      <c r="K24" s="347">
        <f t="shared" si="2"/>
        <v>0</v>
      </c>
    </row>
    <row r="25" spans="1:11" s="13" customFormat="1" ht="15">
      <c r="A25" s="801">
        <f>VLOOKUP(C25,'Daten Futtermittel Saatgut'!$B$7:$K$75,2,FALSE)</f>
        <v>0</v>
      </c>
      <c r="B25" s="819"/>
      <c r="C25" s="853" t="s">
        <v>163</v>
      </c>
      <c r="D25" s="821">
        <v>0</v>
      </c>
      <c r="E25" s="844">
        <v>0</v>
      </c>
      <c r="F25" s="310">
        <f>IF(A25=5.7,0.86*D25/5.7,IF(A25=6.25,0.86*D25/6.25,VLOOKUP(C25,'Daten Futtermittel Saatgut'!$B$7:$K$75,8,FALSE)))</f>
        <v>0</v>
      </c>
      <c r="G25" s="346">
        <f>VLOOKUP(C25,'Daten Futtermittel Saatgut'!$B$7:$K$75,9,FALSE)</f>
        <v>0</v>
      </c>
      <c r="H25" s="346">
        <f>VLOOKUP(C25,'Daten Futtermittel Saatgut'!$B$7:$K$75,10,FALSE)</f>
        <v>0</v>
      </c>
      <c r="I25" s="347">
        <f t="shared" si="0"/>
        <v>0</v>
      </c>
      <c r="J25" s="347">
        <f t="shared" si="1"/>
        <v>0</v>
      </c>
      <c r="K25" s="347">
        <f t="shared" si="2"/>
        <v>0</v>
      </c>
    </row>
    <row r="26" spans="1:11" s="13" customFormat="1" ht="15">
      <c r="A26" s="801">
        <f>VLOOKUP(C26,'Daten Futtermittel Saatgut'!$B$7:$K$75,2,FALSE)</f>
        <v>0</v>
      </c>
      <c r="B26" s="819"/>
      <c r="C26" s="853" t="s">
        <v>163</v>
      </c>
      <c r="D26" s="821">
        <v>0</v>
      </c>
      <c r="E26" s="844">
        <v>0</v>
      </c>
      <c r="F26" s="310">
        <f>IF(A26=5.7,0.86*D26/5.7,IF(A26=6.25,0.86*D26/6.25,VLOOKUP(C26,'Daten Futtermittel Saatgut'!$B$7:$K$75,8,FALSE)))</f>
        <v>0</v>
      </c>
      <c r="G26" s="346">
        <f>VLOOKUP(C26,'Daten Futtermittel Saatgut'!$B$7:$K$75,9,FALSE)</f>
        <v>0</v>
      </c>
      <c r="H26" s="346">
        <f>VLOOKUP(C26,'Daten Futtermittel Saatgut'!$B$7:$K$75,10,FALSE)</f>
        <v>0</v>
      </c>
      <c r="I26" s="347">
        <f t="shared" si="0"/>
        <v>0</v>
      </c>
      <c r="J26" s="347">
        <f t="shared" si="1"/>
        <v>0</v>
      </c>
      <c r="K26" s="347">
        <f t="shared" si="2"/>
        <v>0</v>
      </c>
    </row>
    <row r="27" spans="1:11" s="13" customFormat="1" ht="15">
      <c r="A27" s="801">
        <f>VLOOKUP(C27,'Daten Futtermittel Saatgut'!$B$7:$K$75,2,FALSE)</f>
        <v>0</v>
      </c>
      <c r="B27" s="819"/>
      <c r="C27" s="853" t="s">
        <v>163</v>
      </c>
      <c r="D27" s="821">
        <v>0</v>
      </c>
      <c r="E27" s="844">
        <v>0</v>
      </c>
      <c r="F27" s="310">
        <f>IF(A27=5.7,0.86*D27/5.7,IF(A27=6.25,0.86*D27/6.25,VLOOKUP(C27,'Daten Futtermittel Saatgut'!$B$7:$K$75,8,FALSE)))</f>
        <v>0</v>
      </c>
      <c r="G27" s="346">
        <f>VLOOKUP(C27,'Daten Futtermittel Saatgut'!$B$7:$K$75,9,FALSE)</f>
        <v>0</v>
      </c>
      <c r="H27" s="346">
        <f>VLOOKUP(C27,'Daten Futtermittel Saatgut'!$B$7:$K$75,10,FALSE)</f>
        <v>0</v>
      </c>
      <c r="I27" s="347">
        <f t="shared" si="0"/>
        <v>0</v>
      </c>
      <c r="J27" s="347">
        <f t="shared" si="1"/>
        <v>0</v>
      </c>
      <c r="K27" s="347">
        <f t="shared" si="2"/>
        <v>0</v>
      </c>
    </row>
    <row r="28" spans="1:11" s="13" customFormat="1" ht="15">
      <c r="A28" s="801">
        <f>VLOOKUP(C28,'Daten Futtermittel Saatgut'!$B$7:$K$75,2,FALSE)</f>
        <v>0</v>
      </c>
      <c r="B28" s="819"/>
      <c r="C28" s="853" t="s">
        <v>163</v>
      </c>
      <c r="D28" s="821">
        <v>0</v>
      </c>
      <c r="E28" s="844">
        <v>0</v>
      </c>
      <c r="F28" s="310">
        <f>IF(A28=5.7,0.86*D28/5.7,IF(A28=6.25,0.86*D28/6.25,VLOOKUP(C28,'Daten Futtermittel Saatgut'!$B$7:$K$75,8,FALSE)))</f>
        <v>0</v>
      </c>
      <c r="G28" s="346">
        <f>VLOOKUP(C28,'Daten Futtermittel Saatgut'!$B$7:$K$75,9,FALSE)</f>
        <v>0</v>
      </c>
      <c r="H28" s="346">
        <f>VLOOKUP(C28,'Daten Futtermittel Saatgut'!$B$7:$K$75,10,FALSE)</f>
        <v>0</v>
      </c>
      <c r="I28" s="347">
        <f t="shared" si="0"/>
        <v>0</v>
      </c>
      <c r="J28" s="347">
        <f t="shared" si="1"/>
        <v>0</v>
      </c>
      <c r="K28" s="347">
        <f t="shared" si="2"/>
        <v>0</v>
      </c>
    </row>
    <row r="29" spans="1:11" s="13" customFormat="1" ht="15">
      <c r="A29" s="801">
        <f>VLOOKUP(C29,'Daten Futtermittel Saatgut'!$B$7:$K$75,2,FALSE)</f>
        <v>0</v>
      </c>
      <c r="B29" s="819"/>
      <c r="C29" s="853" t="s">
        <v>163</v>
      </c>
      <c r="D29" s="821">
        <v>0</v>
      </c>
      <c r="E29" s="844">
        <v>0</v>
      </c>
      <c r="F29" s="310">
        <f>IF(A29=5.7,0.86*D29/5.7,IF(A29=6.25,0.86*D29/6.25,VLOOKUP(C29,'Daten Futtermittel Saatgut'!$B$7:$K$75,8,FALSE)))</f>
        <v>0</v>
      </c>
      <c r="G29" s="346">
        <f>VLOOKUP(C29,'Daten Futtermittel Saatgut'!$B$7:$K$75,9,FALSE)</f>
        <v>0</v>
      </c>
      <c r="H29" s="346">
        <f>VLOOKUP(C29,'Daten Futtermittel Saatgut'!$B$7:$K$75,10,FALSE)</f>
        <v>0</v>
      </c>
      <c r="I29" s="347">
        <f t="shared" si="0"/>
        <v>0</v>
      </c>
      <c r="J29" s="347">
        <f t="shared" si="1"/>
        <v>0</v>
      </c>
      <c r="K29" s="347">
        <f t="shared" si="2"/>
        <v>0</v>
      </c>
    </row>
    <row r="30" spans="1:11" s="13" customFormat="1" ht="15">
      <c r="A30" s="801">
        <f>VLOOKUP(C30,'Daten Futtermittel Saatgut'!$B$7:$K$75,2,FALSE)</f>
        <v>0</v>
      </c>
      <c r="B30" s="819"/>
      <c r="C30" s="853" t="s">
        <v>163</v>
      </c>
      <c r="D30" s="821">
        <v>0</v>
      </c>
      <c r="E30" s="844">
        <v>0</v>
      </c>
      <c r="F30" s="310">
        <f>IF(A30=5.7,0.86*D30/5.7,IF(A30=6.25,0.86*D30/6.25,VLOOKUP(C30,'Daten Futtermittel Saatgut'!$B$7:$K$75,8,FALSE)))</f>
        <v>0</v>
      </c>
      <c r="G30" s="346">
        <f>VLOOKUP(C30,'Daten Futtermittel Saatgut'!$B$7:$K$75,9,FALSE)</f>
        <v>0</v>
      </c>
      <c r="H30" s="346">
        <f>VLOOKUP(C30,'Daten Futtermittel Saatgut'!$B$7:$K$75,10,FALSE)</f>
        <v>0</v>
      </c>
      <c r="I30" s="347">
        <f t="shared" si="0"/>
        <v>0</v>
      </c>
      <c r="J30" s="347">
        <f t="shared" si="1"/>
        <v>0</v>
      </c>
      <c r="K30" s="347">
        <f t="shared" si="2"/>
        <v>0</v>
      </c>
    </row>
    <row r="31" spans="1:11" s="13" customFormat="1" ht="15">
      <c r="A31" s="801">
        <f>VLOOKUP(C31,'Daten Futtermittel Saatgut'!$B$7:$K$75,2,FALSE)</f>
        <v>0</v>
      </c>
      <c r="B31" s="819"/>
      <c r="C31" s="853" t="s">
        <v>163</v>
      </c>
      <c r="D31" s="821">
        <v>0</v>
      </c>
      <c r="E31" s="844">
        <v>0</v>
      </c>
      <c r="F31" s="310">
        <f>IF(A31=5.7,0.86*D31/5.7,IF(A31=6.25,0.86*D31/6.25,VLOOKUP(C31,'Daten Futtermittel Saatgut'!$B$7:$K$75,8,FALSE)))</f>
        <v>0</v>
      </c>
      <c r="G31" s="346">
        <f>VLOOKUP(C31,'Daten Futtermittel Saatgut'!$B$7:$K$75,9,FALSE)</f>
        <v>0</v>
      </c>
      <c r="H31" s="346">
        <f>VLOOKUP(C31,'Daten Futtermittel Saatgut'!$B$7:$K$75,10,FALSE)</f>
        <v>0</v>
      </c>
      <c r="I31" s="347">
        <f t="shared" si="0"/>
        <v>0</v>
      </c>
      <c r="J31" s="347">
        <f t="shared" si="1"/>
        <v>0</v>
      </c>
      <c r="K31" s="347">
        <f t="shared" si="2"/>
        <v>0</v>
      </c>
    </row>
    <row r="32" spans="1:11" s="13" customFormat="1" ht="15">
      <c r="A32" s="801">
        <f>VLOOKUP(C32,'Daten Futtermittel Saatgut'!$B$7:$K$75,2,FALSE)</f>
        <v>0</v>
      </c>
      <c r="B32" s="819"/>
      <c r="C32" s="853" t="s">
        <v>163</v>
      </c>
      <c r="D32" s="821">
        <v>0</v>
      </c>
      <c r="E32" s="844">
        <v>0</v>
      </c>
      <c r="F32" s="310">
        <f>IF(A32=5.7,0.86*D32/5.7,IF(A32=6.25,0.86*D32/6.25,VLOOKUP(C32,'Daten Futtermittel Saatgut'!$B$7:$K$75,8,FALSE)))</f>
        <v>0</v>
      </c>
      <c r="G32" s="346">
        <f>VLOOKUP(C32,'Daten Futtermittel Saatgut'!$B$7:$K$75,9,FALSE)</f>
        <v>0</v>
      </c>
      <c r="H32" s="346">
        <f>VLOOKUP(C32,'Daten Futtermittel Saatgut'!$B$7:$K$75,10,FALSE)</f>
        <v>0</v>
      </c>
      <c r="I32" s="347">
        <f t="shared" si="0"/>
        <v>0</v>
      </c>
      <c r="J32" s="347">
        <f t="shared" si="1"/>
        <v>0</v>
      </c>
      <c r="K32" s="347">
        <f t="shared" si="2"/>
        <v>0</v>
      </c>
    </row>
    <row r="33" spans="1:11" s="13" customFormat="1" ht="15">
      <c r="A33" s="801">
        <f>VLOOKUP(C33,'Daten Futtermittel Saatgut'!$B$7:$K$75,2,FALSE)</f>
        <v>0</v>
      </c>
      <c r="B33" s="819"/>
      <c r="C33" s="853" t="s">
        <v>163</v>
      </c>
      <c r="D33" s="821">
        <v>0</v>
      </c>
      <c r="E33" s="844">
        <v>0</v>
      </c>
      <c r="F33" s="310">
        <f>IF(A33=5.7,0.86*D33/5.7,IF(A33=6.25,0.86*D33/6.25,VLOOKUP(C33,'Daten Futtermittel Saatgut'!$B$7:$K$75,8,FALSE)))</f>
        <v>0</v>
      </c>
      <c r="G33" s="346">
        <f>VLOOKUP(C33,'Daten Futtermittel Saatgut'!$B$7:$K$75,9,FALSE)</f>
        <v>0</v>
      </c>
      <c r="H33" s="346">
        <f>VLOOKUP(C33,'Daten Futtermittel Saatgut'!$B$7:$K$75,10,FALSE)</f>
        <v>0</v>
      </c>
      <c r="I33" s="347">
        <f t="shared" si="0"/>
        <v>0</v>
      </c>
      <c r="J33" s="347">
        <f t="shared" si="1"/>
        <v>0</v>
      </c>
      <c r="K33" s="347">
        <f t="shared" si="2"/>
        <v>0</v>
      </c>
    </row>
    <row r="34" spans="1:11" s="13" customFormat="1" ht="15">
      <c r="A34" s="801">
        <f>VLOOKUP(C34,'Daten Futtermittel Saatgut'!$B$7:$K$75,2,FALSE)</f>
        <v>0</v>
      </c>
      <c r="B34" s="819"/>
      <c r="C34" s="853" t="s">
        <v>163</v>
      </c>
      <c r="D34" s="821">
        <v>0</v>
      </c>
      <c r="E34" s="844">
        <v>0</v>
      </c>
      <c r="F34" s="310">
        <f>IF(A34=5.7,0.86*D34/5.7,IF(A34=6.25,0.86*D34/6.25,VLOOKUP(C34,'Daten Futtermittel Saatgut'!$B$7:$K$75,8,FALSE)))</f>
        <v>0</v>
      </c>
      <c r="G34" s="346">
        <f>VLOOKUP(C34,'Daten Futtermittel Saatgut'!$B$7:$K$75,9,FALSE)</f>
        <v>0</v>
      </c>
      <c r="H34" s="346">
        <f>VLOOKUP(C34,'Daten Futtermittel Saatgut'!$B$7:$K$75,10,FALSE)</f>
        <v>0</v>
      </c>
      <c r="I34" s="347">
        <f t="shared" si="0"/>
        <v>0</v>
      </c>
      <c r="J34" s="347">
        <f t="shared" si="1"/>
        <v>0</v>
      </c>
      <c r="K34" s="347">
        <f t="shared" si="2"/>
        <v>0</v>
      </c>
    </row>
    <row r="35" spans="1:11" s="13" customFormat="1" ht="15">
      <c r="A35" s="801">
        <f>VLOOKUP(C35,'Daten Futtermittel Saatgut'!$B$7:$K$75,2,FALSE)</f>
        <v>0</v>
      </c>
      <c r="B35" s="819"/>
      <c r="C35" s="853" t="s">
        <v>163</v>
      </c>
      <c r="D35" s="821">
        <v>0</v>
      </c>
      <c r="E35" s="844">
        <v>0</v>
      </c>
      <c r="F35" s="310">
        <f>IF(A35=5.7,0.86*D35/5.7,IF(A35=6.25,0.86*D35/6.25,VLOOKUP(C35,'Daten Futtermittel Saatgut'!$B$7:$K$75,8,FALSE)))</f>
        <v>0</v>
      </c>
      <c r="G35" s="346">
        <f>VLOOKUP(C35,'Daten Futtermittel Saatgut'!$B$7:$K$75,9,FALSE)</f>
        <v>0</v>
      </c>
      <c r="H35" s="346">
        <f>VLOOKUP(C35,'Daten Futtermittel Saatgut'!$B$7:$K$75,10,FALSE)</f>
        <v>0</v>
      </c>
      <c r="I35" s="347">
        <f t="shared" si="0"/>
        <v>0</v>
      </c>
      <c r="J35" s="347">
        <f t="shared" si="1"/>
        <v>0</v>
      </c>
      <c r="K35" s="347">
        <f t="shared" si="2"/>
        <v>0</v>
      </c>
    </row>
    <row r="36" spans="1:11" s="13" customFormat="1" ht="15">
      <c r="A36" s="801">
        <f>VLOOKUP(C36,'Daten Futtermittel Saatgut'!$B$7:$K$75,2,FALSE)</f>
        <v>0</v>
      </c>
      <c r="B36" s="819"/>
      <c r="C36" s="853" t="s">
        <v>163</v>
      </c>
      <c r="D36" s="821">
        <v>0</v>
      </c>
      <c r="E36" s="844">
        <v>0</v>
      </c>
      <c r="F36" s="310">
        <f>IF(A36=5.7,0.86*D36/5.7,IF(A36=6.25,0.86*D36/6.25,VLOOKUP(C36,'Daten Futtermittel Saatgut'!$B$7:$K$75,8,FALSE)))</f>
        <v>0</v>
      </c>
      <c r="G36" s="346">
        <f>VLOOKUP(C36,'Daten Futtermittel Saatgut'!$B$7:$K$75,9,FALSE)</f>
        <v>0</v>
      </c>
      <c r="H36" s="346">
        <f>VLOOKUP(C36,'Daten Futtermittel Saatgut'!$B$7:$K$75,10,FALSE)</f>
        <v>0</v>
      </c>
      <c r="I36" s="347">
        <f t="shared" si="0"/>
        <v>0</v>
      </c>
      <c r="J36" s="347">
        <f t="shared" si="1"/>
        <v>0</v>
      </c>
      <c r="K36" s="347">
        <f t="shared" si="2"/>
        <v>0</v>
      </c>
    </row>
    <row r="37" spans="1:11" s="13" customFormat="1" ht="15">
      <c r="A37" s="801">
        <f>VLOOKUP(C37,'Daten Futtermittel Saatgut'!$B$7:$K$75,2,FALSE)</f>
        <v>0</v>
      </c>
      <c r="B37" s="819"/>
      <c r="C37" s="853" t="s">
        <v>163</v>
      </c>
      <c r="D37" s="821">
        <v>0</v>
      </c>
      <c r="E37" s="844">
        <v>0</v>
      </c>
      <c r="F37" s="310">
        <f>IF(A37=5.7,0.86*D37/5.7,IF(A37=6.25,0.86*D37/6.25,VLOOKUP(C37,'Daten Futtermittel Saatgut'!$B$7:$K$75,8,FALSE)))</f>
        <v>0</v>
      </c>
      <c r="G37" s="346">
        <f>VLOOKUP(C37,'Daten Futtermittel Saatgut'!$B$7:$K$75,9,FALSE)</f>
        <v>0</v>
      </c>
      <c r="H37" s="346">
        <f>VLOOKUP(C37,'Daten Futtermittel Saatgut'!$B$7:$K$75,10,FALSE)</f>
        <v>0</v>
      </c>
      <c r="I37" s="347">
        <f t="shared" si="0"/>
        <v>0</v>
      </c>
      <c r="J37" s="347">
        <f t="shared" si="1"/>
        <v>0</v>
      </c>
      <c r="K37" s="347">
        <f t="shared" si="2"/>
        <v>0</v>
      </c>
    </row>
    <row r="38" spans="1:11" s="13" customFormat="1" ht="15">
      <c r="A38" s="801">
        <f>VLOOKUP(C38,'Daten Futtermittel Saatgut'!$B$7:$K$75,2,FALSE)</f>
        <v>0</v>
      </c>
      <c r="B38" s="819"/>
      <c r="C38" s="853" t="s">
        <v>163</v>
      </c>
      <c r="D38" s="821">
        <v>0</v>
      </c>
      <c r="E38" s="844">
        <v>0</v>
      </c>
      <c r="F38" s="310">
        <f>IF(A38=5.7,0.86*D38/5.7,IF(A38=6.25,0.86*D38/6.25,VLOOKUP(C38,'Daten Futtermittel Saatgut'!$B$7:$K$75,8,FALSE)))</f>
        <v>0</v>
      </c>
      <c r="G38" s="346">
        <f>VLOOKUP(C38,'Daten Futtermittel Saatgut'!$B$7:$K$75,9,FALSE)</f>
        <v>0</v>
      </c>
      <c r="H38" s="346">
        <f>VLOOKUP(C38,'Daten Futtermittel Saatgut'!$B$7:$K$75,10,FALSE)</f>
        <v>0</v>
      </c>
      <c r="I38" s="347">
        <f t="shared" si="0"/>
        <v>0</v>
      </c>
      <c r="J38" s="347">
        <f t="shared" si="1"/>
        <v>0</v>
      </c>
      <c r="K38" s="347">
        <f t="shared" si="2"/>
        <v>0</v>
      </c>
    </row>
    <row r="39" spans="1:11" s="13" customFormat="1" ht="15">
      <c r="A39" s="801">
        <f>VLOOKUP(C39,'Daten Futtermittel Saatgut'!$B$7:$K$75,2,FALSE)</f>
        <v>0</v>
      </c>
      <c r="B39" s="819"/>
      <c r="C39" s="853" t="s">
        <v>163</v>
      </c>
      <c r="D39" s="821">
        <v>0</v>
      </c>
      <c r="E39" s="844">
        <v>0</v>
      </c>
      <c r="F39" s="310">
        <f>IF(A39=5.7,0.86*D39/5.7,IF(A39=6.25,0.86*D39/6.25,VLOOKUP(C39,'Daten Futtermittel Saatgut'!$B$7:$K$75,8,FALSE)))</f>
        <v>0</v>
      </c>
      <c r="G39" s="346">
        <f>VLOOKUP(C39,'Daten Futtermittel Saatgut'!$B$7:$K$75,9,FALSE)</f>
        <v>0</v>
      </c>
      <c r="H39" s="346">
        <f>VLOOKUP(C39,'Daten Futtermittel Saatgut'!$B$7:$K$75,10,FALSE)</f>
        <v>0</v>
      </c>
      <c r="I39" s="347">
        <f t="shared" si="0"/>
        <v>0</v>
      </c>
      <c r="J39" s="347">
        <f t="shared" si="1"/>
        <v>0</v>
      </c>
      <c r="K39" s="347">
        <f t="shared" si="2"/>
        <v>0</v>
      </c>
    </row>
    <row r="40" spans="1:11" s="13" customFormat="1" ht="15">
      <c r="A40" s="801">
        <f>VLOOKUP(C40,'Daten Futtermittel Saatgut'!$B$7:$K$75,2,FALSE)</f>
        <v>0</v>
      </c>
      <c r="B40" s="819"/>
      <c r="C40" s="853" t="s">
        <v>163</v>
      </c>
      <c r="D40" s="821">
        <v>0</v>
      </c>
      <c r="E40" s="844">
        <v>0</v>
      </c>
      <c r="F40" s="310">
        <f>IF(A40=5.7,0.86*D40/5.7,IF(A40=6.25,0.86*D40/6.25,VLOOKUP(C40,'Daten Futtermittel Saatgut'!$B$7:$K$75,8,FALSE)))</f>
        <v>0</v>
      </c>
      <c r="G40" s="346">
        <f>VLOOKUP(C40,'Daten Futtermittel Saatgut'!$B$7:$K$75,9,FALSE)</f>
        <v>0</v>
      </c>
      <c r="H40" s="346">
        <f>VLOOKUP(C40,'Daten Futtermittel Saatgut'!$B$7:$K$75,10,FALSE)</f>
        <v>0</v>
      </c>
      <c r="I40" s="347">
        <f t="shared" si="0"/>
        <v>0</v>
      </c>
      <c r="J40" s="347">
        <f t="shared" si="1"/>
        <v>0</v>
      </c>
      <c r="K40" s="347">
        <f t="shared" si="2"/>
        <v>0</v>
      </c>
    </row>
    <row r="41" spans="1:11" s="13" customFormat="1" ht="15">
      <c r="A41" s="801">
        <f>VLOOKUP(C41,'Daten Futtermittel Saatgut'!$B$7:$K$75,2,FALSE)</f>
        <v>0</v>
      </c>
      <c r="B41" s="819"/>
      <c r="C41" s="853" t="s">
        <v>163</v>
      </c>
      <c r="D41" s="821">
        <v>0</v>
      </c>
      <c r="E41" s="844">
        <v>0</v>
      </c>
      <c r="F41" s="310">
        <f>IF(A41=5.7,0.86*D41/5.7,IF(A41=6.25,0.86*D41/6.25,VLOOKUP(C41,'Daten Futtermittel Saatgut'!$B$7:$K$75,8,FALSE)))</f>
        <v>0</v>
      </c>
      <c r="G41" s="346">
        <f>VLOOKUP(C41,'Daten Futtermittel Saatgut'!$B$7:$K$75,9,FALSE)</f>
        <v>0</v>
      </c>
      <c r="H41" s="346">
        <f>VLOOKUP(C41,'Daten Futtermittel Saatgut'!$B$7:$K$75,10,FALSE)</f>
        <v>0</v>
      </c>
      <c r="I41" s="347">
        <f t="shared" si="0"/>
        <v>0</v>
      </c>
      <c r="J41" s="347">
        <f t="shared" si="1"/>
        <v>0</v>
      </c>
      <c r="K41" s="347">
        <f t="shared" si="2"/>
        <v>0</v>
      </c>
    </row>
    <row r="42" spans="1:11" s="13" customFormat="1" ht="15">
      <c r="A42" s="801">
        <f>VLOOKUP(C42,'Daten Futtermittel Saatgut'!$B$7:$K$75,2,FALSE)</f>
        <v>0</v>
      </c>
      <c r="B42" s="819"/>
      <c r="C42" s="853" t="s">
        <v>163</v>
      </c>
      <c r="D42" s="821">
        <v>0</v>
      </c>
      <c r="E42" s="844">
        <v>0</v>
      </c>
      <c r="F42" s="310">
        <f>IF(A42=5.7,0.86*D42/5.7,IF(A42=6.25,0.86*D42/6.25,VLOOKUP(C42,'Daten Futtermittel Saatgut'!$B$7:$K$75,8,FALSE)))</f>
        <v>0</v>
      </c>
      <c r="G42" s="346">
        <f>VLOOKUP(C42,'Daten Futtermittel Saatgut'!$B$7:$K$75,9,FALSE)</f>
        <v>0</v>
      </c>
      <c r="H42" s="346">
        <f>VLOOKUP(C42,'Daten Futtermittel Saatgut'!$B$7:$K$75,10,FALSE)</f>
        <v>0</v>
      </c>
      <c r="I42" s="347">
        <f t="shared" si="0"/>
        <v>0</v>
      </c>
      <c r="J42" s="347">
        <f t="shared" si="1"/>
        <v>0</v>
      </c>
      <c r="K42" s="347">
        <f t="shared" si="2"/>
        <v>0</v>
      </c>
    </row>
    <row r="43" spans="1:11" s="13" customFormat="1" ht="15">
      <c r="A43" s="801">
        <f>VLOOKUP(C43,'Daten Futtermittel Saatgut'!$B$7:$K$75,2,FALSE)</f>
        <v>0</v>
      </c>
      <c r="B43" s="852"/>
      <c r="C43" s="853" t="s">
        <v>163</v>
      </c>
      <c r="D43" s="821">
        <v>0</v>
      </c>
      <c r="E43" s="844">
        <v>0</v>
      </c>
      <c r="F43" s="310">
        <f>IF(A43=5.7,0.86*D43/5.7,IF(A43=6.25,0.86*D43/6.25,VLOOKUP(C43,'Daten Futtermittel Saatgut'!$B$7:$K$75,8,FALSE)))</f>
        <v>0</v>
      </c>
      <c r="G43" s="346">
        <f>VLOOKUP(C43,'Daten Futtermittel Saatgut'!$B$7:$K$75,9,FALSE)</f>
        <v>0</v>
      </c>
      <c r="H43" s="346">
        <f>VLOOKUP(C43,'Daten Futtermittel Saatgut'!$B$7:$K$75,10,FALSE)</f>
        <v>0</v>
      </c>
      <c r="I43" s="347">
        <f t="shared" si="0"/>
        <v>0</v>
      </c>
      <c r="J43" s="347">
        <f t="shared" si="1"/>
        <v>0</v>
      </c>
      <c r="K43" s="347">
        <f t="shared" si="2"/>
        <v>0</v>
      </c>
    </row>
    <row r="44" spans="1:11" s="13" customFormat="1" ht="15">
      <c r="A44" s="801">
        <f>VLOOKUP(C44,'Daten Futtermittel Saatgut'!$B$7:$K$75,2,FALSE)</f>
        <v>0</v>
      </c>
      <c r="B44" s="819"/>
      <c r="C44" s="853" t="s">
        <v>163</v>
      </c>
      <c r="D44" s="821">
        <v>0</v>
      </c>
      <c r="E44" s="844">
        <v>0</v>
      </c>
      <c r="F44" s="310">
        <f>IF(A44=5.7,0.86*D44/5.7,IF(A44=6.25,0.86*D44/6.25,VLOOKUP(C44,'Daten Futtermittel Saatgut'!$B$7:$K$75,8,FALSE)))</f>
        <v>0</v>
      </c>
      <c r="G44" s="346">
        <f>VLOOKUP(C44,'Daten Futtermittel Saatgut'!$B$7:$K$75,9,FALSE)</f>
        <v>0</v>
      </c>
      <c r="H44" s="346">
        <f>VLOOKUP(C44,'Daten Futtermittel Saatgut'!$B$7:$K$75,10,FALSE)</f>
        <v>0</v>
      </c>
      <c r="I44" s="347">
        <f t="shared" ref="I44:I53" si="3">E44*F44</f>
        <v>0</v>
      </c>
      <c r="J44" s="347">
        <f t="shared" ref="J44:J53" si="4">E44*G44</f>
        <v>0</v>
      </c>
      <c r="K44" s="347">
        <f t="shared" ref="K44:K53" si="5">E44*H44</f>
        <v>0</v>
      </c>
    </row>
    <row r="45" spans="1:11" s="13" customFormat="1" ht="15">
      <c r="A45" s="801">
        <f>VLOOKUP(C45,'Daten Futtermittel Saatgut'!$B$7:$K$75,2,FALSE)</f>
        <v>0</v>
      </c>
      <c r="B45" s="819"/>
      <c r="C45" s="853" t="s">
        <v>163</v>
      </c>
      <c r="D45" s="821">
        <v>0</v>
      </c>
      <c r="E45" s="844">
        <v>0</v>
      </c>
      <c r="F45" s="310">
        <f>IF(A45=5.7,0.86*D45/5.7,IF(A45=6.25,0.86*D45/6.25,VLOOKUP(C45,'Daten Futtermittel Saatgut'!$B$7:$K$75,8,FALSE)))</f>
        <v>0</v>
      </c>
      <c r="G45" s="346">
        <f>VLOOKUP(C45,'Daten Futtermittel Saatgut'!$B$7:$K$75,9,FALSE)</f>
        <v>0</v>
      </c>
      <c r="H45" s="346">
        <f>VLOOKUP(C45,'Daten Futtermittel Saatgut'!$B$7:$K$75,10,FALSE)</f>
        <v>0</v>
      </c>
      <c r="I45" s="347">
        <f t="shared" si="3"/>
        <v>0</v>
      </c>
      <c r="J45" s="347">
        <f t="shared" si="4"/>
        <v>0</v>
      </c>
      <c r="K45" s="347">
        <f t="shared" si="5"/>
        <v>0</v>
      </c>
    </row>
    <row r="46" spans="1:11" s="13" customFormat="1" ht="15">
      <c r="A46" s="801">
        <f>VLOOKUP(C46,'Daten Futtermittel Saatgut'!$B$7:$K$75,2,FALSE)</f>
        <v>0</v>
      </c>
      <c r="B46" s="819"/>
      <c r="C46" s="853" t="s">
        <v>163</v>
      </c>
      <c r="D46" s="821">
        <v>0</v>
      </c>
      <c r="E46" s="844">
        <v>0</v>
      </c>
      <c r="F46" s="310">
        <f>IF(A46=5.7,0.86*D46/5.7,IF(A46=6.25,0.86*D46/6.25,VLOOKUP(C46,'Daten Futtermittel Saatgut'!$B$7:$K$75,8,FALSE)))</f>
        <v>0</v>
      </c>
      <c r="G46" s="346">
        <f>VLOOKUP(C46,'Daten Futtermittel Saatgut'!$B$7:$K$75,9,FALSE)</f>
        <v>0</v>
      </c>
      <c r="H46" s="346">
        <f>VLOOKUP(C46,'Daten Futtermittel Saatgut'!$B$7:$K$75,10,FALSE)</f>
        <v>0</v>
      </c>
      <c r="I46" s="347">
        <f t="shared" si="3"/>
        <v>0</v>
      </c>
      <c r="J46" s="347">
        <f t="shared" si="4"/>
        <v>0</v>
      </c>
      <c r="K46" s="347">
        <f t="shared" si="5"/>
        <v>0</v>
      </c>
    </row>
    <row r="47" spans="1:11" s="13" customFormat="1" ht="15">
      <c r="A47" s="801">
        <f>VLOOKUP(C47,'Daten Futtermittel Saatgut'!$B$7:$K$75,2,FALSE)</f>
        <v>0</v>
      </c>
      <c r="B47" s="819"/>
      <c r="C47" s="853" t="s">
        <v>163</v>
      </c>
      <c r="D47" s="821">
        <v>0</v>
      </c>
      <c r="E47" s="844">
        <v>0</v>
      </c>
      <c r="F47" s="310">
        <f>IF(A47=5.7,0.86*D47/5.7,IF(A47=6.25,0.86*D47/6.25,VLOOKUP(C47,'Daten Futtermittel Saatgut'!$B$7:$K$75,8,FALSE)))</f>
        <v>0</v>
      </c>
      <c r="G47" s="346">
        <f>VLOOKUP(C47,'Daten Futtermittel Saatgut'!$B$7:$K$75,9,FALSE)</f>
        <v>0</v>
      </c>
      <c r="H47" s="346">
        <f>VLOOKUP(C47,'Daten Futtermittel Saatgut'!$B$7:$K$75,10,FALSE)</f>
        <v>0</v>
      </c>
      <c r="I47" s="347">
        <f t="shared" si="3"/>
        <v>0</v>
      </c>
      <c r="J47" s="347">
        <f t="shared" si="4"/>
        <v>0</v>
      </c>
      <c r="K47" s="347">
        <f t="shared" si="5"/>
        <v>0</v>
      </c>
    </row>
    <row r="48" spans="1:11" s="13" customFormat="1" ht="15">
      <c r="A48" s="801">
        <f>VLOOKUP(C48,'Daten Futtermittel Saatgut'!$B$7:$K$75,2,FALSE)</f>
        <v>0</v>
      </c>
      <c r="B48" s="819"/>
      <c r="C48" s="853" t="s">
        <v>163</v>
      </c>
      <c r="D48" s="821">
        <v>0</v>
      </c>
      <c r="E48" s="844">
        <v>0</v>
      </c>
      <c r="F48" s="310">
        <f>IF(A48=5.7,0.86*D48/5.7,IF(A48=6.25,0.86*D48/6.25,VLOOKUP(C48,'Daten Futtermittel Saatgut'!$B$7:$K$75,8,FALSE)))</f>
        <v>0</v>
      </c>
      <c r="G48" s="346">
        <f>VLOOKUP(C48,'Daten Futtermittel Saatgut'!$B$7:$K$75,9,FALSE)</f>
        <v>0</v>
      </c>
      <c r="H48" s="346">
        <f>VLOOKUP(C48,'Daten Futtermittel Saatgut'!$B$7:$K$75,10,FALSE)</f>
        <v>0</v>
      </c>
      <c r="I48" s="347">
        <f t="shared" si="3"/>
        <v>0</v>
      </c>
      <c r="J48" s="347">
        <f t="shared" si="4"/>
        <v>0</v>
      </c>
      <c r="K48" s="347">
        <f t="shared" si="5"/>
        <v>0</v>
      </c>
    </row>
    <row r="49" spans="1:12" s="13" customFormat="1" ht="15">
      <c r="A49" s="801">
        <f>VLOOKUP(C49,'Daten Futtermittel Saatgut'!$B$7:$K$75,2,FALSE)</f>
        <v>0</v>
      </c>
      <c r="B49" s="819"/>
      <c r="C49" s="853" t="s">
        <v>163</v>
      </c>
      <c r="D49" s="821">
        <v>0</v>
      </c>
      <c r="E49" s="844">
        <v>0</v>
      </c>
      <c r="F49" s="310">
        <f>IF(A49=5.7,0.86*D49/5.7,IF(A49=6.25,0.86*D49/6.25,VLOOKUP(C49,'Daten Futtermittel Saatgut'!$B$7:$K$75,8,FALSE)))</f>
        <v>0</v>
      </c>
      <c r="G49" s="346">
        <f>VLOOKUP(C49,'Daten Futtermittel Saatgut'!$B$7:$K$75,9,FALSE)</f>
        <v>0</v>
      </c>
      <c r="H49" s="346">
        <f>VLOOKUP(C49,'Daten Futtermittel Saatgut'!$B$7:$K$75,10,FALSE)</f>
        <v>0</v>
      </c>
      <c r="I49" s="347">
        <f t="shared" si="3"/>
        <v>0</v>
      </c>
      <c r="J49" s="347">
        <f t="shared" si="4"/>
        <v>0</v>
      </c>
      <c r="K49" s="347">
        <f t="shared" si="5"/>
        <v>0</v>
      </c>
    </row>
    <row r="50" spans="1:12" s="13" customFormat="1" ht="15">
      <c r="A50" s="801">
        <f>VLOOKUP(C50,'Daten Futtermittel Saatgut'!$B$7:$K$75,2,FALSE)</f>
        <v>0</v>
      </c>
      <c r="B50" s="819"/>
      <c r="C50" s="853" t="s">
        <v>163</v>
      </c>
      <c r="D50" s="821">
        <v>0</v>
      </c>
      <c r="E50" s="844">
        <v>0</v>
      </c>
      <c r="F50" s="310">
        <f>IF(A50=5.7,0.86*D50/5.7,IF(A50=6.25,0.86*D50/6.25,VLOOKUP(C50,'Daten Futtermittel Saatgut'!$B$7:$K$75,8,FALSE)))</f>
        <v>0</v>
      </c>
      <c r="G50" s="346">
        <f>VLOOKUP(C50,'Daten Futtermittel Saatgut'!$B$7:$K$75,9,FALSE)</f>
        <v>0</v>
      </c>
      <c r="H50" s="346">
        <f>VLOOKUP(C50,'Daten Futtermittel Saatgut'!$B$7:$K$75,10,FALSE)</f>
        <v>0</v>
      </c>
      <c r="I50" s="347">
        <f t="shared" si="3"/>
        <v>0</v>
      </c>
      <c r="J50" s="347">
        <f t="shared" si="4"/>
        <v>0</v>
      </c>
      <c r="K50" s="347">
        <f t="shared" si="5"/>
        <v>0</v>
      </c>
    </row>
    <row r="51" spans="1:12" s="13" customFormat="1" ht="15">
      <c r="A51" s="801">
        <f>VLOOKUP(C51,'Daten Futtermittel Saatgut'!$B$7:$K$75,2,FALSE)</f>
        <v>0</v>
      </c>
      <c r="B51" s="819"/>
      <c r="C51" s="853" t="s">
        <v>163</v>
      </c>
      <c r="D51" s="821">
        <v>0</v>
      </c>
      <c r="E51" s="844">
        <v>0</v>
      </c>
      <c r="F51" s="310">
        <f>IF(A51=5.7,0.86*D51/5.7,IF(A51=6.25,0.86*D51/6.25,VLOOKUP(C51,'Daten Futtermittel Saatgut'!$B$7:$K$75,8,FALSE)))</f>
        <v>0</v>
      </c>
      <c r="G51" s="346">
        <f>VLOOKUP(C51,'Daten Futtermittel Saatgut'!$B$7:$K$75,9,FALSE)</f>
        <v>0</v>
      </c>
      <c r="H51" s="346">
        <f>VLOOKUP(C51,'Daten Futtermittel Saatgut'!$B$7:$K$75,10,FALSE)</f>
        <v>0</v>
      </c>
      <c r="I51" s="347">
        <f t="shared" si="3"/>
        <v>0</v>
      </c>
      <c r="J51" s="347">
        <f t="shared" si="4"/>
        <v>0</v>
      </c>
      <c r="K51" s="347">
        <f t="shared" si="5"/>
        <v>0</v>
      </c>
    </row>
    <row r="52" spans="1:12" s="13" customFormat="1" ht="15">
      <c r="A52" s="801">
        <f>VLOOKUP(C52,'Daten Futtermittel Saatgut'!$B$7:$K$75,2,FALSE)</f>
        <v>0</v>
      </c>
      <c r="B52" s="819"/>
      <c r="C52" s="853" t="s">
        <v>163</v>
      </c>
      <c r="D52" s="821">
        <v>0</v>
      </c>
      <c r="E52" s="844">
        <v>0</v>
      </c>
      <c r="F52" s="310">
        <f>IF(A52=5.7,0.86*D52/5.7,IF(A52=6.25,0.86*D52/6.25,VLOOKUP(C52,'Daten Futtermittel Saatgut'!$B$7:$K$75,8,FALSE)))</f>
        <v>0</v>
      </c>
      <c r="G52" s="346">
        <f>VLOOKUP(C52,'Daten Futtermittel Saatgut'!$B$7:$K$75,9,FALSE)</f>
        <v>0</v>
      </c>
      <c r="H52" s="346">
        <f>VLOOKUP(C52,'Daten Futtermittel Saatgut'!$B$7:$K$75,10,FALSE)</f>
        <v>0</v>
      </c>
      <c r="I52" s="347">
        <f t="shared" si="3"/>
        <v>0</v>
      </c>
      <c r="J52" s="347">
        <f t="shared" si="4"/>
        <v>0</v>
      </c>
      <c r="K52" s="347">
        <f t="shared" si="5"/>
        <v>0</v>
      </c>
    </row>
    <row r="53" spans="1:12" s="13" customFormat="1" ht="15">
      <c r="A53" s="801">
        <f>VLOOKUP(C53,'Daten Futtermittel Saatgut'!$B$7:$K$75,2,FALSE)</f>
        <v>0</v>
      </c>
      <c r="B53" s="819"/>
      <c r="C53" s="853" t="s">
        <v>163</v>
      </c>
      <c r="D53" s="821">
        <v>0</v>
      </c>
      <c r="E53" s="844">
        <v>0</v>
      </c>
      <c r="F53" s="310">
        <f>IF(A53=5.7,0.86*D53/5.7,IF(A53=6.25,0.86*D53/6.25,VLOOKUP(C53,'Daten Futtermittel Saatgut'!$B$7:$K$75,8,FALSE)))</f>
        <v>0</v>
      </c>
      <c r="G53" s="346">
        <f>VLOOKUP(C53,'Daten Futtermittel Saatgut'!$B$7:$K$75,9,FALSE)</f>
        <v>0</v>
      </c>
      <c r="H53" s="346">
        <f>VLOOKUP(C53,'Daten Futtermittel Saatgut'!$B$7:$K$75,10,FALSE)</f>
        <v>0</v>
      </c>
      <c r="I53" s="347">
        <f t="shared" si="3"/>
        <v>0</v>
      </c>
      <c r="J53" s="347">
        <f t="shared" si="4"/>
        <v>0</v>
      </c>
      <c r="K53" s="347">
        <f t="shared" si="5"/>
        <v>0</v>
      </c>
    </row>
    <row r="54" spans="1:12" s="13" customFormat="1" ht="15">
      <c r="A54" s="801">
        <f>VLOOKUP(C54,'Daten Futtermittel Saatgut'!$B$7:$K$75,2,FALSE)</f>
        <v>0</v>
      </c>
      <c r="B54" s="852"/>
      <c r="C54" s="853" t="s">
        <v>163</v>
      </c>
      <c r="D54" s="821">
        <v>0</v>
      </c>
      <c r="E54" s="844">
        <v>0</v>
      </c>
      <c r="F54" s="310">
        <f>IF(A54=5.7,0.86*D54/5.7,IF(A54=6.25,0.86*D54/6.25,VLOOKUP(C54,'Daten Futtermittel Saatgut'!$B$7:$K$75,8,FALSE)))</f>
        <v>0</v>
      </c>
      <c r="G54" s="346">
        <f>VLOOKUP(C54,'Daten Futtermittel Saatgut'!$B$7:$K$75,9,FALSE)</f>
        <v>0</v>
      </c>
      <c r="H54" s="346">
        <f>VLOOKUP(C54,'Daten Futtermittel Saatgut'!$B$7:$K$75,10,FALSE)</f>
        <v>0</v>
      </c>
      <c r="I54" s="347">
        <f t="shared" si="0"/>
        <v>0</v>
      </c>
      <c r="J54" s="347">
        <f t="shared" si="1"/>
        <v>0</v>
      </c>
      <c r="K54" s="347">
        <f t="shared" si="2"/>
        <v>0</v>
      </c>
    </row>
    <row r="55" spans="1:12" s="13" customFormat="1" ht="15">
      <c r="A55" s="801">
        <f>VLOOKUP(C55,'Daten Futtermittel Saatgut'!$B$7:$K$75,2,FALSE)</f>
        <v>0</v>
      </c>
      <c r="B55" s="852"/>
      <c r="C55" s="853" t="s">
        <v>163</v>
      </c>
      <c r="D55" s="821">
        <v>0</v>
      </c>
      <c r="E55" s="844">
        <v>0</v>
      </c>
      <c r="F55" s="310">
        <f>IF(A55=5.7,0.86*D55/5.7,IF(A55=6.25,0.86*D55/6.25,VLOOKUP(C55,'Daten Futtermittel Saatgut'!$B$7:$K$75,8,FALSE)))</f>
        <v>0</v>
      </c>
      <c r="G55" s="346">
        <f>VLOOKUP(C55,'Daten Futtermittel Saatgut'!$B$7:$K$75,9,FALSE)</f>
        <v>0</v>
      </c>
      <c r="H55" s="346">
        <f>VLOOKUP(C55,'Daten Futtermittel Saatgut'!$B$7:$K$75,10,FALSE)</f>
        <v>0</v>
      </c>
      <c r="I55" s="347">
        <f t="shared" si="0"/>
        <v>0</v>
      </c>
      <c r="J55" s="347">
        <f t="shared" si="1"/>
        <v>0</v>
      </c>
      <c r="K55" s="347">
        <f t="shared" si="2"/>
        <v>0</v>
      </c>
    </row>
    <row r="56" spans="1:12" s="13" customFormat="1" ht="15">
      <c r="A56" s="801">
        <f>VLOOKUP(C56,'Daten Futtermittel Saatgut'!$B$7:$K$75,2,FALSE)</f>
        <v>0</v>
      </c>
      <c r="B56" s="852"/>
      <c r="C56" s="853" t="s">
        <v>163</v>
      </c>
      <c r="D56" s="821">
        <v>0</v>
      </c>
      <c r="E56" s="844">
        <v>0</v>
      </c>
      <c r="F56" s="310">
        <f>IF(A56=5.7,0.86*D56/5.7,IF(A56=6.25,0.86*D56/6.25,VLOOKUP(C56,'Daten Futtermittel Saatgut'!$B$7:$K$75,8,FALSE)))</f>
        <v>0</v>
      </c>
      <c r="G56" s="346">
        <f>VLOOKUP(C56,'Daten Futtermittel Saatgut'!$B$7:$K$75,9,FALSE)</f>
        <v>0</v>
      </c>
      <c r="H56" s="346">
        <f>VLOOKUP(C56,'Daten Futtermittel Saatgut'!$B$7:$K$75,10,FALSE)</f>
        <v>0</v>
      </c>
      <c r="I56" s="347">
        <f t="shared" si="0"/>
        <v>0</v>
      </c>
      <c r="J56" s="347">
        <f t="shared" si="1"/>
        <v>0</v>
      </c>
      <c r="K56" s="347">
        <f t="shared" si="2"/>
        <v>0</v>
      </c>
    </row>
    <row r="57" spans="1:12" s="13" customFormat="1" ht="15">
      <c r="A57" s="801">
        <f>VLOOKUP(C57,'Daten Futtermittel Saatgut'!$B$7:$K$75,2,FALSE)</f>
        <v>0</v>
      </c>
      <c r="B57" s="852"/>
      <c r="C57" s="853" t="s">
        <v>163</v>
      </c>
      <c r="D57" s="821">
        <v>0</v>
      </c>
      <c r="E57" s="844">
        <v>0</v>
      </c>
      <c r="F57" s="310">
        <f>IF(A57=5.7,0.86*D57/5.7,IF(A57=6.25,0.86*D57/6.25,VLOOKUP(C57,'Daten Futtermittel Saatgut'!$B$7:$K$75,8,FALSE)))</f>
        <v>0</v>
      </c>
      <c r="G57" s="346">
        <f>VLOOKUP(C57,'Daten Futtermittel Saatgut'!$B$7:$K$75,9,FALSE)</f>
        <v>0</v>
      </c>
      <c r="H57" s="346">
        <f>VLOOKUP(C57,'Daten Futtermittel Saatgut'!$B$7:$K$75,10,FALSE)</f>
        <v>0</v>
      </c>
      <c r="I57" s="347">
        <f t="shared" si="0"/>
        <v>0</v>
      </c>
      <c r="J57" s="347">
        <f t="shared" si="1"/>
        <v>0</v>
      </c>
      <c r="K57" s="347">
        <f t="shared" si="2"/>
        <v>0</v>
      </c>
    </row>
    <row r="58" spans="1:12" s="13" customFormat="1" ht="15">
      <c r="A58" s="801">
        <f>VLOOKUP(C58,'Daten Futtermittel Saatgut'!$B$7:$K$75,2,FALSE)</f>
        <v>0</v>
      </c>
      <c r="B58" s="852"/>
      <c r="C58" s="853" t="s">
        <v>163</v>
      </c>
      <c r="D58" s="821">
        <v>0</v>
      </c>
      <c r="E58" s="844">
        <v>0</v>
      </c>
      <c r="F58" s="310">
        <f>IF(A58=5.7,0.86*D58/5.7,IF(A58=6.25,0.86*D58/6.25,VLOOKUP(C58,'Daten Futtermittel Saatgut'!$B$7:$K$75,8,FALSE)))</f>
        <v>0</v>
      </c>
      <c r="G58" s="346">
        <f>VLOOKUP(C58,'Daten Futtermittel Saatgut'!$B$7:$K$75,9,FALSE)</f>
        <v>0</v>
      </c>
      <c r="H58" s="346">
        <f>VLOOKUP(C58,'Daten Futtermittel Saatgut'!$B$7:$K$75,10,FALSE)</f>
        <v>0</v>
      </c>
      <c r="I58" s="347">
        <f t="shared" ref="I58:I59" si="6">E58*F58</f>
        <v>0</v>
      </c>
      <c r="J58" s="347">
        <f t="shared" ref="J58:J59" si="7">E58*G58</f>
        <v>0</v>
      </c>
      <c r="K58" s="347">
        <f t="shared" ref="K58:K59" si="8">E58*H58</f>
        <v>0</v>
      </c>
    </row>
    <row r="59" spans="1:12" s="13" customFormat="1" ht="15">
      <c r="A59" s="801">
        <f>VLOOKUP(C59,'Daten Futtermittel Saatgut'!$B$7:$K$75,2,FALSE)</f>
        <v>0</v>
      </c>
      <c r="B59" s="852"/>
      <c r="C59" s="853" t="s">
        <v>163</v>
      </c>
      <c r="D59" s="821">
        <v>0</v>
      </c>
      <c r="E59" s="844">
        <v>0</v>
      </c>
      <c r="F59" s="310">
        <f>IF(A59=5.7,0.86*D59/5.7,IF(A59=6.25,0.86*D59/6.25,VLOOKUP(C59,'Daten Futtermittel Saatgut'!$B$7:$K$75,8,FALSE)))</f>
        <v>0</v>
      </c>
      <c r="G59" s="346">
        <f>VLOOKUP(C59,'Daten Futtermittel Saatgut'!$B$7:$K$75,9,FALSE)</f>
        <v>0</v>
      </c>
      <c r="H59" s="346">
        <f>VLOOKUP(C59,'Daten Futtermittel Saatgut'!$B$7:$K$75,10,FALSE)</f>
        <v>0</v>
      </c>
      <c r="I59" s="347">
        <f t="shared" si="6"/>
        <v>0</v>
      </c>
      <c r="J59" s="347">
        <f t="shared" si="7"/>
        <v>0</v>
      </c>
      <c r="K59" s="347">
        <f t="shared" si="8"/>
        <v>0</v>
      </c>
    </row>
    <row r="60" spans="1:12" s="13" customFormat="1" ht="15">
      <c r="A60" s="801">
        <f>VLOOKUP(C60,'Daten Futtermittel Saatgut'!$B$7:$K$75,2,FALSE)</f>
        <v>0</v>
      </c>
      <c r="B60" s="852"/>
      <c r="C60" s="853" t="s">
        <v>163</v>
      </c>
      <c r="D60" s="821">
        <v>0</v>
      </c>
      <c r="E60" s="844">
        <v>0</v>
      </c>
      <c r="F60" s="310">
        <f>IF(A60=5.7,0.86*D60/5.7,IF(A60=6.25,0.86*D60/6.25,VLOOKUP(C60,'Daten Futtermittel Saatgut'!$B$7:$K$75,8,FALSE)))</f>
        <v>0</v>
      </c>
      <c r="G60" s="346">
        <f>VLOOKUP(C60,'Daten Futtermittel Saatgut'!$B$7:$K$75,9,FALSE)</f>
        <v>0</v>
      </c>
      <c r="H60" s="346">
        <f>VLOOKUP(C60,'Daten Futtermittel Saatgut'!$B$7:$K$75,10,FALSE)</f>
        <v>0</v>
      </c>
      <c r="I60" s="347">
        <f t="shared" si="0"/>
        <v>0</v>
      </c>
      <c r="J60" s="347">
        <f t="shared" si="1"/>
        <v>0</v>
      </c>
      <c r="K60" s="347">
        <f t="shared" si="2"/>
        <v>0</v>
      </c>
    </row>
    <row r="61" spans="1:12" s="13" customFormat="1" ht="15">
      <c r="A61" s="801">
        <f>VLOOKUP(C61,'Daten Futtermittel Saatgut'!$B$7:$K$75,2,FALSE)</f>
        <v>0</v>
      </c>
      <c r="B61" s="852"/>
      <c r="C61" s="853" t="s">
        <v>163</v>
      </c>
      <c r="D61" s="821">
        <v>0</v>
      </c>
      <c r="E61" s="844">
        <v>0</v>
      </c>
      <c r="F61" s="310">
        <f>IF(A61=5.7,0.86*D61/5.7,IF(A61=6.25,0.86*D61/6.25,VLOOKUP(C61,'Daten Futtermittel Saatgut'!$B$7:$K$75,8,FALSE)))</f>
        <v>0</v>
      </c>
      <c r="G61" s="346">
        <f>VLOOKUP(C61,'Daten Futtermittel Saatgut'!$B$7:$K$75,9,FALSE)</f>
        <v>0</v>
      </c>
      <c r="H61" s="346">
        <f>VLOOKUP(C61,'Daten Futtermittel Saatgut'!$B$7:$K$75,10,FALSE)</f>
        <v>0</v>
      </c>
      <c r="I61" s="347">
        <f t="shared" si="0"/>
        <v>0</v>
      </c>
      <c r="J61" s="347">
        <f t="shared" si="1"/>
        <v>0</v>
      </c>
      <c r="K61" s="347">
        <f t="shared" si="2"/>
        <v>0</v>
      </c>
    </row>
    <row r="62" spans="1:12" s="13" customFormat="1" ht="17.25" customHeight="1">
      <c r="A62" s="801"/>
      <c r="C62" s="768" t="s">
        <v>38</v>
      </c>
      <c r="D62" s="348"/>
      <c r="E62" s="349"/>
      <c r="F62" s="270"/>
      <c r="G62" s="270"/>
      <c r="H62" s="270"/>
      <c r="I62" s="382">
        <f>SUM(I7:I61)</f>
        <v>0</v>
      </c>
      <c r="J62" s="382">
        <f>SUM(J7:J61)</f>
        <v>0</v>
      </c>
      <c r="K62" s="382">
        <f>SUM(K7:K61)</f>
        <v>0</v>
      </c>
    </row>
    <row r="63" spans="1:12" s="13" customFormat="1" ht="15">
      <c r="A63" s="801"/>
      <c r="B63" s="1089"/>
      <c r="C63" s="1089"/>
      <c r="D63" s="1089"/>
      <c r="E63" s="1089"/>
      <c r="F63" s="1089"/>
      <c r="G63" s="1089"/>
      <c r="H63" s="1089"/>
      <c r="I63" s="1089"/>
      <c r="J63" s="1089"/>
      <c r="K63" s="1089"/>
      <c r="L63" s="1089"/>
    </row>
    <row r="64" spans="1:12" s="13" customFormat="1" ht="18.75" customHeight="1">
      <c r="A64" s="801"/>
      <c r="B64" s="1089"/>
      <c r="C64" s="1130"/>
      <c r="D64" s="1130"/>
      <c r="E64" s="1130"/>
      <c r="F64" s="1089"/>
      <c r="G64" s="1089"/>
      <c r="H64" s="1089"/>
      <c r="I64" s="1089"/>
      <c r="J64" s="1089"/>
      <c r="K64" s="1089"/>
      <c r="L64" s="1089"/>
    </row>
    <row r="65" spans="1:12" s="13" customFormat="1" ht="15">
      <c r="A65" s="801"/>
      <c r="B65" s="1089"/>
      <c r="C65" s="1130"/>
      <c r="D65" s="1089"/>
      <c r="E65" s="1089"/>
      <c r="F65" s="1089"/>
      <c r="G65" s="1089"/>
      <c r="H65" s="1089"/>
      <c r="I65" s="1089"/>
      <c r="J65" s="1089"/>
      <c r="K65" s="1089"/>
      <c r="L65" s="1089"/>
    </row>
    <row r="66" spans="1:12" s="13" customFormat="1" ht="15">
      <c r="A66" s="801"/>
      <c r="B66" s="1089"/>
      <c r="C66" s="1130"/>
      <c r="D66" s="1089"/>
      <c r="E66" s="1089"/>
      <c r="F66" s="1089"/>
      <c r="G66" s="1089"/>
      <c r="H66" s="1089"/>
      <c r="I66" s="1089"/>
      <c r="J66" s="1089"/>
      <c r="K66" s="1089"/>
      <c r="L66" s="1089"/>
    </row>
    <row r="67" spans="1:12" s="13" customFormat="1" ht="15">
      <c r="A67" s="801"/>
      <c r="B67" s="1089"/>
      <c r="C67" s="1130"/>
      <c r="D67" s="1089"/>
      <c r="E67" s="1089"/>
      <c r="F67" s="1089"/>
      <c r="G67" s="1089"/>
      <c r="H67" s="1089"/>
      <c r="I67" s="1089"/>
      <c r="J67" s="1089"/>
      <c r="K67" s="1089"/>
      <c r="L67" s="1089"/>
    </row>
    <row r="68" spans="1:12" s="13" customFormat="1" ht="15">
      <c r="A68" s="801"/>
      <c r="B68" s="1089"/>
      <c r="C68" s="1130"/>
      <c r="D68" s="1089"/>
      <c r="E68" s="1089"/>
      <c r="F68" s="1089"/>
      <c r="G68" s="1089"/>
      <c r="H68" s="1089"/>
      <c r="I68" s="1089"/>
      <c r="J68" s="1089"/>
      <c r="K68" s="1089"/>
      <c r="L68" s="1089"/>
    </row>
    <row r="69" spans="1:12" s="306" customFormat="1" ht="15">
      <c r="A69" s="804"/>
      <c r="B69" s="1089"/>
      <c r="C69" s="1089"/>
      <c r="D69" s="1089"/>
      <c r="E69" s="1130"/>
      <c r="F69" s="1130"/>
      <c r="G69" s="1130"/>
      <c r="H69" s="1130"/>
      <c r="I69" s="1130"/>
      <c r="J69" s="1130"/>
      <c r="K69" s="1089"/>
      <c r="L69" s="1089"/>
    </row>
    <row r="70" spans="1:12" s="306" customFormat="1" ht="33" customHeight="1">
      <c r="A70" s="804"/>
      <c r="B70" s="1089"/>
      <c r="C70" s="1089"/>
      <c r="D70" s="1089"/>
      <c r="E70" s="1089"/>
      <c r="F70" s="1089"/>
      <c r="G70" s="1089"/>
      <c r="H70" s="1089"/>
      <c r="I70" s="1089"/>
      <c r="J70" s="1089"/>
      <c r="K70" s="1089"/>
      <c r="L70" s="1089"/>
    </row>
    <row r="71" spans="1:12" s="13" customFormat="1" ht="15">
      <c r="A71" s="801"/>
      <c r="B71" s="1089"/>
      <c r="C71" s="1089"/>
      <c r="D71" s="1089"/>
      <c r="E71" s="1089"/>
      <c r="F71" s="1089"/>
      <c r="G71" s="1089"/>
      <c r="H71" s="1089"/>
      <c r="I71" s="1089"/>
      <c r="J71" s="1089"/>
      <c r="K71" s="1089"/>
      <c r="L71" s="1089"/>
    </row>
    <row r="72" spans="1:12" s="13" customFormat="1" ht="15">
      <c r="A72" s="801"/>
      <c r="B72" s="1089"/>
      <c r="C72" s="1089"/>
      <c r="D72" s="1089"/>
      <c r="E72" s="1089"/>
      <c r="F72" s="1089"/>
      <c r="G72" s="1089"/>
      <c r="H72" s="1089"/>
      <c r="I72" s="1089"/>
      <c r="J72" s="1089"/>
      <c r="K72" s="1089"/>
      <c r="L72" s="1089"/>
    </row>
    <row r="73" spans="1:12" s="13" customFormat="1" ht="15">
      <c r="A73" s="801"/>
      <c r="B73" s="1089"/>
      <c r="C73" s="1089"/>
      <c r="D73" s="1089"/>
      <c r="E73" s="1089"/>
      <c r="F73" s="1089"/>
      <c r="G73" s="1089"/>
      <c r="H73" s="1089"/>
      <c r="I73" s="1089"/>
      <c r="J73" s="1089"/>
      <c r="K73" s="1089"/>
      <c r="L73" s="1089"/>
    </row>
    <row r="74" spans="1:12" s="13" customFormat="1" ht="15">
      <c r="A74" s="801"/>
      <c r="B74" s="1089"/>
      <c r="C74" s="1089"/>
      <c r="D74" s="1089"/>
      <c r="E74" s="1089"/>
      <c r="F74" s="1089"/>
      <c r="G74" s="1089"/>
      <c r="H74" s="1089"/>
      <c r="I74" s="1089"/>
      <c r="J74" s="1089"/>
      <c r="K74" s="1089"/>
      <c r="L74" s="1089"/>
    </row>
    <row r="75" spans="1:12" s="13" customFormat="1" ht="15">
      <c r="A75" s="801"/>
      <c r="B75" s="1089"/>
      <c r="C75" s="1089"/>
      <c r="D75" s="1089"/>
      <c r="E75" s="1089"/>
      <c r="F75" s="1089"/>
      <c r="G75" s="1089"/>
      <c r="H75" s="1089"/>
      <c r="I75" s="1089"/>
      <c r="J75" s="1089"/>
      <c r="K75" s="1089"/>
      <c r="L75" s="1089"/>
    </row>
    <row r="76" spans="1:12" s="13" customFormat="1" ht="15">
      <c r="A76" s="801"/>
      <c r="B76" s="1089"/>
      <c r="C76" s="1089"/>
      <c r="D76" s="1089"/>
      <c r="E76" s="1089"/>
      <c r="F76" s="1089"/>
      <c r="G76" s="1089"/>
      <c r="H76" s="1089"/>
      <c r="I76" s="1089"/>
      <c r="J76" s="1089"/>
      <c r="K76" s="1089"/>
      <c r="L76" s="1089"/>
    </row>
    <row r="77" spans="1:12" s="13" customFormat="1" ht="15">
      <c r="A77" s="801"/>
      <c r="B77" s="1089"/>
      <c r="C77" s="1089"/>
      <c r="D77" s="1089"/>
      <c r="E77" s="1089"/>
      <c r="F77" s="1089"/>
      <c r="G77" s="1089"/>
      <c r="H77" s="1089"/>
      <c r="I77" s="1089"/>
      <c r="J77" s="1089"/>
      <c r="K77" s="1089"/>
      <c r="L77" s="1089"/>
    </row>
    <row r="78" spans="1:12" s="13" customFormat="1" ht="15">
      <c r="A78" s="801"/>
      <c r="B78" s="1089"/>
      <c r="C78" s="1089"/>
      <c r="D78" s="1089"/>
      <c r="E78" s="1089"/>
      <c r="F78" s="1089"/>
      <c r="G78" s="1089"/>
      <c r="H78" s="1089"/>
      <c r="I78" s="1089"/>
      <c r="J78" s="1089"/>
      <c r="K78" s="1089"/>
      <c r="L78" s="1089"/>
    </row>
    <row r="79" spans="1:12" s="13" customFormat="1" ht="15">
      <c r="A79" s="801"/>
      <c r="B79" s="1089"/>
      <c r="C79" s="1089"/>
      <c r="D79" s="1089"/>
      <c r="E79" s="1089"/>
      <c r="F79" s="1089"/>
      <c r="G79" s="1089"/>
      <c r="H79" s="1089"/>
      <c r="I79" s="1089"/>
      <c r="J79" s="1089"/>
      <c r="K79" s="1089"/>
      <c r="L79" s="1089"/>
    </row>
    <row r="80" spans="1:12" s="13" customFormat="1" ht="17.25" customHeight="1">
      <c r="A80" s="801"/>
      <c r="B80" s="1089"/>
      <c r="C80" s="1089"/>
      <c r="D80" s="1089"/>
      <c r="E80" s="1089"/>
      <c r="F80" s="1089"/>
      <c r="G80" s="1089"/>
      <c r="H80" s="1089"/>
      <c r="I80" s="1089"/>
      <c r="J80" s="1089"/>
      <c r="K80" s="1089"/>
      <c r="L80" s="1089"/>
    </row>
    <row r="81" spans="1:12" s="13" customFormat="1" ht="15">
      <c r="A81" s="801"/>
      <c r="B81" s="1089"/>
      <c r="C81" s="1089"/>
      <c r="D81" s="1089"/>
      <c r="E81" s="1089"/>
      <c r="F81" s="1089"/>
      <c r="G81" s="1089"/>
      <c r="H81" s="1089"/>
      <c r="I81" s="1089"/>
      <c r="J81" s="1089"/>
      <c r="K81" s="1089"/>
      <c r="L81" s="1089"/>
    </row>
    <row r="82" spans="1:12" s="13" customFormat="1" ht="15">
      <c r="A82" s="801"/>
      <c r="B82" s="1089"/>
      <c r="C82" s="1089"/>
      <c r="D82" s="1089"/>
      <c r="E82" s="1089"/>
      <c r="F82" s="1089"/>
      <c r="G82" s="1089"/>
      <c r="H82" s="1089"/>
      <c r="I82" s="1089"/>
      <c r="J82" s="1089"/>
      <c r="K82" s="1089"/>
      <c r="L82" s="1089"/>
    </row>
    <row r="83" spans="1:12" s="13" customFormat="1" ht="15">
      <c r="A83" s="801"/>
    </row>
    <row r="84" spans="1:12" s="13" customFormat="1" ht="15">
      <c r="A84" s="801"/>
    </row>
    <row r="85" spans="1:12" s="13" customFormat="1" ht="15">
      <c r="A85" s="801"/>
    </row>
    <row r="86" spans="1:12" s="13" customFormat="1" ht="15">
      <c r="A86" s="801"/>
    </row>
    <row r="87" spans="1:12" s="13" customFormat="1" ht="15">
      <c r="A87" s="801"/>
    </row>
    <row r="88" spans="1:12" s="13" customFormat="1" ht="15">
      <c r="A88" s="801"/>
    </row>
    <row r="89" spans="1:12" s="13" customFormat="1" ht="15">
      <c r="A89" s="801"/>
    </row>
    <row r="90" spans="1:12" s="13" customFormat="1" ht="15">
      <c r="A90" s="801"/>
    </row>
    <row r="91" spans="1:12" s="13" customFormat="1" ht="15">
      <c r="A91" s="801"/>
    </row>
    <row r="92" spans="1:12" s="13" customFormat="1" ht="15">
      <c r="A92" s="801"/>
    </row>
    <row r="93" spans="1:12" s="13" customFormat="1" ht="15">
      <c r="A93" s="801"/>
    </row>
    <row r="94" spans="1:12" s="13" customFormat="1" ht="15">
      <c r="A94" s="801"/>
    </row>
    <row r="95" spans="1:12" s="13" customFormat="1" ht="15">
      <c r="A95" s="801"/>
    </row>
    <row r="96" spans="1:12" s="13" customFormat="1" ht="15">
      <c r="A96" s="801"/>
    </row>
    <row r="97" spans="1:10" s="13" customFormat="1" ht="15">
      <c r="A97" s="801"/>
    </row>
    <row r="98" spans="1:10" s="13" customFormat="1" ht="15">
      <c r="A98" s="801"/>
    </row>
    <row r="99" spans="1:10" s="13" customFormat="1" ht="15">
      <c r="A99" s="801"/>
    </row>
    <row r="100" spans="1:10" s="13" customFormat="1" ht="15">
      <c r="A100" s="801"/>
    </row>
    <row r="101" spans="1:10" s="13" customFormat="1" ht="15">
      <c r="A101" s="801"/>
    </row>
    <row r="102" spans="1:10" s="13" customFormat="1" ht="15">
      <c r="A102" s="801"/>
    </row>
    <row r="103" spans="1:10" s="13" customFormat="1" ht="15">
      <c r="A103" s="801"/>
    </row>
    <row r="104" spans="1:10" s="13" customFormat="1" ht="15">
      <c r="A104" s="801"/>
    </row>
    <row r="105" spans="1:10" s="13" customFormat="1" ht="15">
      <c r="A105" s="801"/>
    </row>
    <row r="106" spans="1:10" s="13" customFormat="1" ht="15">
      <c r="A106" s="801"/>
    </row>
    <row r="107" spans="1:10" s="13" customFormat="1" ht="15">
      <c r="A107" s="801"/>
    </row>
    <row r="108" spans="1:10" s="13" customFormat="1" ht="15">
      <c r="A108" s="801"/>
    </row>
    <row r="109" spans="1:10" s="13" customFormat="1" ht="15">
      <c r="A109" s="801"/>
    </row>
    <row r="110" spans="1:10" s="13" customFormat="1" ht="15">
      <c r="A110" s="801"/>
    </row>
    <row r="111" spans="1:10" s="13" customFormat="1" ht="15">
      <c r="A111" s="801"/>
    </row>
    <row r="112" spans="1:10" s="13" customFormat="1">
      <c r="A112" s="801"/>
      <c r="B112" s="232"/>
      <c r="C112" s="232"/>
      <c r="D112" s="232"/>
      <c r="E112" s="232"/>
      <c r="F112" s="232"/>
      <c r="G112" s="232"/>
      <c r="H112" s="232"/>
      <c r="I112" s="232"/>
      <c r="J112" s="232"/>
    </row>
    <row r="113" spans="1:10" s="13" customFormat="1">
      <c r="A113" s="801"/>
      <c r="B113" s="232"/>
      <c r="C113" s="232"/>
      <c r="D113" s="232"/>
      <c r="E113" s="232"/>
      <c r="F113" s="232"/>
      <c r="G113" s="232"/>
      <c r="H113" s="232"/>
      <c r="I113" s="232"/>
      <c r="J113" s="232"/>
    </row>
    <row r="114" spans="1:10" s="13" customFormat="1">
      <c r="A114" s="801"/>
      <c r="B114" s="232"/>
      <c r="C114" s="232"/>
      <c r="D114" s="232"/>
      <c r="E114" s="232"/>
      <c r="F114" s="232"/>
      <c r="G114" s="232"/>
      <c r="H114" s="232"/>
      <c r="I114" s="232"/>
      <c r="J114" s="232"/>
    </row>
    <row r="115" spans="1:10" s="13" customFormat="1">
      <c r="A115" s="801"/>
      <c r="B115" s="68"/>
      <c r="C115" s="68"/>
      <c r="D115" s="68"/>
      <c r="E115" s="68"/>
      <c r="F115" s="68"/>
      <c r="G115" s="68"/>
      <c r="H115" s="68"/>
      <c r="I115" s="68"/>
      <c r="J115" s="68"/>
    </row>
    <row r="116" spans="1:10" s="13" customFormat="1">
      <c r="A116" s="801"/>
      <c r="B116" s="68"/>
      <c r="C116" s="68"/>
      <c r="D116" s="68"/>
      <c r="E116" s="68"/>
      <c r="F116" s="68"/>
      <c r="G116" s="68"/>
      <c r="H116" s="68"/>
      <c r="I116" s="68"/>
      <c r="J116" s="68"/>
    </row>
    <row r="117" spans="1:10" s="13" customFormat="1">
      <c r="A117" s="801"/>
      <c r="B117" s="68"/>
      <c r="C117" s="68"/>
      <c r="D117" s="68"/>
      <c r="E117" s="68"/>
      <c r="F117" s="68"/>
      <c r="G117" s="68"/>
      <c r="H117" s="68"/>
      <c r="I117" s="68"/>
      <c r="J117" s="68"/>
    </row>
    <row r="118" spans="1:10" s="13" customFormat="1">
      <c r="A118" s="801"/>
      <c r="B118" s="68"/>
      <c r="C118" s="68"/>
      <c r="D118" s="68"/>
      <c r="E118" s="68"/>
      <c r="F118" s="68"/>
      <c r="G118" s="68"/>
      <c r="H118" s="68"/>
      <c r="I118" s="68"/>
      <c r="J118" s="68"/>
    </row>
    <row r="119" spans="1:10" s="13" customFormat="1">
      <c r="A119" s="801"/>
      <c r="B119" s="68"/>
      <c r="C119" s="68"/>
      <c r="D119" s="68"/>
      <c r="E119" s="68"/>
      <c r="F119" s="68"/>
      <c r="G119" s="68"/>
      <c r="H119" s="68"/>
      <c r="I119" s="68"/>
      <c r="J119" s="68"/>
    </row>
    <row r="120" spans="1:10" s="13" customFormat="1">
      <c r="A120" s="801"/>
      <c r="B120" s="68"/>
      <c r="C120" s="68"/>
      <c r="D120" s="68"/>
      <c r="E120" s="68"/>
      <c r="F120" s="68"/>
      <c r="G120" s="68"/>
      <c r="H120" s="68"/>
      <c r="I120" s="68"/>
      <c r="J120" s="68"/>
    </row>
    <row r="121" spans="1:10" s="232" customFormat="1">
      <c r="A121" s="797"/>
      <c r="B121" s="68"/>
      <c r="C121" s="68"/>
      <c r="D121" s="68"/>
      <c r="E121" s="68"/>
      <c r="F121" s="68"/>
      <c r="G121" s="68"/>
      <c r="H121" s="68"/>
      <c r="I121" s="68"/>
      <c r="J121" s="68"/>
    </row>
    <row r="122" spans="1:10" s="232" customFormat="1">
      <c r="A122" s="797"/>
      <c r="B122" s="68"/>
      <c r="C122" s="68"/>
      <c r="D122" s="68"/>
      <c r="E122" s="68"/>
      <c r="F122" s="68"/>
      <c r="G122" s="68"/>
      <c r="H122" s="68"/>
      <c r="I122" s="68"/>
      <c r="J122" s="68"/>
    </row>
    <row r="123" spans="1:10" s="232" customFormat="1">
      <c r="A123" s="797"/>
      <c r="B123" s="68"/>
      <c r="C123" s="68"/>
      <c r="D123" s="68"/>
      <c r="E123" s="68"/>
      <c r="F123" s="68"/>
      <c r="G123" s="68"/>
      <c r="H123" s="68"/>
      <c r="I123" s="68"/>
      <c r="J123" s="68"/>
    </row>
  </sheetData>
  <sheetProtection sheet="1" objects="1" scenarios="1" formatColumns="0" formatRows="0" selectLockedCells="1"/>
  <mergeCells count="6">
    <mergeCell ref="C5:C6"/>
    <mergeCell ref="E5:E6"/>
    <mergeCell ref="B1:E3"/>
    <mergeCell ref="F5:H5"/>
    <mergeCell ref="I5:K5"/>
    <mergeCell ref="D5:D6"/>
  </mergeCells>
  <dataValidations count="2">
    <dataValidation type="list" allowBlank="1" showInputMessage="1" showErrorMessage="1" sqref="C7:C61">
      <formula1>Futtermittel</formula1>
    </dataValidation>
    <dataValidation type="list" allowBlank="1" showInputMessage="1" showErrorMessage="1" sqref="C71:C79">
      <formula1>Saatgut</formula1>
    </dataValidation>
  </dataValidation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theme="9" tint="0.59999389629810485"/>
  </sheetPr>
  <dimension ref="A1:N43"/>
  <sheetViews>
    <sheetView topLeftCell="A11" zoomScaleNormal="100" workbookViewId="0">
      <selection activeCell="E11" sqref="E11"/>
    </sheetView>
  </sheetViews>
  <sheetFormatPr baseColWidth="10" defaultRowHeight="15"/>
  <cols>
    <col min="1" max="1" width="4.42578125" style="795" customWidth="1"/>
    <col min="2" max="2" width="20.5703125" customWidth="1"/>
    <col min="3" max="3" width="41.42578125" customWidth="1"/>
    <col min="4" max="4" width="36.5703125" customWidth="1"/>
    <col min="5" max="5" width="18.85546875" customWidth="1"/>
    <col min="6" max="6" width="29.85546875" customWidth="1"/>
    <col min="7" max="9" width="7.85546875" customWidth="1"/>
    <col min="10" max="12" width="8.140625" customWidth="1"/>
    <col min="13" max="14" width="11.42578125" style="816"/>
  </cols>
  <sheetData>
    <row r="1" spans="1:14">
      <c r="B1" s="1221" t="s">
        <v>981</v>
      </c>
      <c r="C1" s="1221"/>
      <c r="D1" s="1221"/>
    </row>
    <row r="2" spans="1:14">
      <c r="B2" s="1221"/>
      <c r="C2" s="1221"/>
      <c r="D2" s="1221"/>
    </row>
    <row r="3" spans="1:14" ht="19.5" thickBot="1">
      <c r="B3" s="441"/>
      <c r="C3" s="441"/>
      <c r="D3" s="441"/>
    </row>
    <row r="4" spans="1:14" ht="19.5" thickBot="1">
      <c r="B4" s="441"/>
      <c r="C4" s="441"/>
      <c r="D4" s="1280" t="s">
        <v>431</v>
      </c>
      <c r="E4" s="1281"/>
    </row>
    <row r="5" spans="1:14">
      <c r="D5" s="453" t="s">
        <v>537</v>
      </c>
      <c r="E5" s="817">
        <v>30</v>
      </c>
    </row>
    <row r="6" spans="1:14">
      <c r="D6" s="448" t="s">
        <v>538</v>
      </c>
      <c r="E6" s="818">
        <v>500</v>
      </c>
    </row>
    <row r="7" spans="1:14">
      <c r="D7" s="448" t="s">
        <v>539</v>
      </c>
      <c r="E7" s="826">
        <f>E6*E5/100</f>
        <v>150</v>
      </c>
    </row>
    <row r="8" spans="1:14" ht="39.75" customHeight="1">
      <c r="D8" s="451" t="s">
        <v>540</v>
      </c>
      <c r="E8" s="818">
        <v>35</v>
      </c>
    </row>
    <row r="9" spans="1:14" s="135" customFormat="1" ht="34.5" customHeight="1" thickBot="1">
      <c r="A9" s="796"/>
      <c r="B9" s="301"/>
      <c r="C9" s="420"/>
      <c r="D9" s="452" t="s">
        <v>541</v>
      </c>
      <c r="E9" s="827">
        <f>IF(E8=0,0,E7/(E8/100))</f>
        <v>428.57142857142861</v>
      </c>
      <c r="F9" s="434"/>
      <c r="G9" s="1285" t="s">
        <v>17</v>
      </c>
      <c r="H9" s="1285"/>
      <c r="I9" s="1285"/>
      <c r="J9" s="1287" t="s">
        <v>444</v>
      </c>
      <c r="K9" s="1287"/>
      <c r="L9" s="1287"/>
      <c r="M9" s="1429" t="s">
        <v>403</v>
      </c>
      <c r="N9" s="1430"/>
    </row>
    <row r="10" spans="1:14" s="5" customFormat="1" ht="31.5" customHeight="1">
      <c r="A10" s="795" t="s">
        <v>256</v>
      </c>
      <c r="B10" s="328" t="s">
        <v>351</v>
      </c>
      <c r="C10" s="435" t="s">
        <v>420</v>
      </c>
      <c r="D10" s="438" t="s">
        <v>1087</v>
      </c>
      <c r="E10" s="439" t="s">
        <v>421</v>
      </c>
      <c r="F10" s="407" t="s">
        <v>149</v>
      </c>
      <c r="G10" s="342" t="s">
        <v>16</v>
      </c>
      <c r="H10" s="342" t="s">
        <v>113</v>
      </c>
      <c r="I10" s="342" t="s">
        <v>114</v>
      </c>
      <c r="J10" s="342" t="s">
        <v>16</v>
      </c>
      <c r="K10" s="342" t="s">
        <v>113</v>
      </c>
      <c r="L10" s="343" t="s">
        <v>114</v>
      </c>
      <c r="M10" s="1428" t="s">
        <v>372</v>
      </c>
      <c r="N10" s="1428"/>
    </row>
    <row r="11" spans="1:14" s="5" customFormat="1">
      <c r="A11" s="795">
        <f>VLOOKUP(C11,'Daten Grobfutter'!$B$5:$G$29,2,FALSE)</f>
        <v>0</v>
      </c>
      <c r="B11" s="819"/>
      <c r="C11" s="820" t="s">
        <v>163</v>
      </c>
      <c r="D11" s="821"/>
      <c r="E11" s="822"/>
      <c r="F11" s="823" t="s">
        <v>302</v>
      </c>
      <c r="G11" s="310">
        <f>IF(A11="GL",D11/6.25,VLOOKUP(C11,'Daten Grobfutter'!$B$5:$G$29,4,FALSE))</f>
        <v>0</v>
      </c>
      <c r="H11" s="310">
        <f>IF(A11="GL",-0.06*(D11/6.25)^2+0.43*(D11/6.25)+0.2,VLOOKUP(C11,'Daten Grobfutter'!$B$5:$G$29,5,FALSE))</f>
        <v>0</v>
      </c>
      <c r="I11" s="310">
        <f>IF(A11="GL",-0.22*(D11/6.25)^2+1.57*(D11/6.25)+0.24,VLOOKUP(C11,'Daten Grobfutter'!$B$5:$G$29,6,FALSE))</f>
        <v>0</v>
      </c>
      <c r="J11" s="20">
        <f t="shared" ref="J11:J25" si="0">G11*E11</f>
        <v>0</v>
      </c>
      <c r="K11" s="20">
        <f t="shared" ref="K11:K25" si="1">H11*E11</f>
        <v>0</v>
      </c>
      <c r="L11" s="311">
        <f t="shared" ref="L11:L25" si="2">I11*E11</f>
        <v>0</v>
      </c>
      <c r="M11" s="1414">
        <f>J11*0.1</f>
        <v>0</v>
      </c>
      <c r="N11" s="1414"/>
    </row>
    <row r="12" spans="1:14" s="5" customFormat="1">
      <c r="A12" s="795">
        <f>VLOOKUP(C12,'Daten Grobfutter'!$B$5:$G$29,2,FALSE)</f>
        <v>0</v>
      </c>
      <c r="B12" s="819"/>
      <c r="C12" s="820" t="s">
        <v>163</v>
      </c>
      <c r="D12" s="821"/>
      <c r="E12" s="822"/>
      <c r="F12" s="823" t="s">
        <v>1169</v>
      </c>
      <c r="G12" s="310">
        <f>IF(A12="GL",D12/6.25,VLOOKUP(C12,'Daten Grobfutter'!$B$5:$G$29,4,FALSE))</f>
        <v>0</v>
      </c>
      <c r="H12" s="310">
        <f>IF(A12="GL",-0.06*(D12/6.25)^2+0.43*(D12/6.25)+0.2,VLOOKUP(C12,'Daten Grobfutter'!$B$5:$G$29,5,FALSE))</f>
        <v>0</v>
      </c>
      <c r="I12" s="310">
        <f>IF(A12="GL",-0.22*(D12/6.25)^2+1.57*(D12/6.25)+0.24,VLOOKUP(C12,'Daten Grobfutter'!$B$5:$G$29,6,FALSE))</f>
        <v>0</v>
      </c>
      <c r="J12" s="20">
        <f t="shared" si="0"/>
        <v>0</v>
      </c>
      <c r="K12" s="20">
        <f t="shared" si="1"/>
        <v>0</v>
      </c>
      <c r="L12" s="311">
        <f t="shared" si="2"/>
        <v>0</v>
      </c>
      <c r="M12" s="1414">
        <f t="shared" ref="M12:M25" si="3">J12*0.1</f>
        <v>0</v>
      </c>
      <c r="N12" s="1414"/>
    </row>
    <row r="13" spans="1:14" s="5" customFormat="1">
      <c r="A13" s="795">
        <f>VLOOKUP(C13,'Daten Grobfutter'!$B$5:$G$29,2,FALSE)</f>
        <v>0</v>
      </c>
      <c r="B13" s="819"/>
      <c r="C13" s="820" t="s">
        <v>163</v>
      </c>
      <c r="D13" s="821"/>
      <c r="E13" s="822"/>
      <c r="F13" s="823" t="s">
        <v>302</v>
      </c>
      <c r="G13" s="310">
        <f>IF(A13="GL",D13/6.25,VLOOKUP(C13,'Daten Grobfutter'!$B$5:$G$29,4,FALSE))</f>
        <v>0</v>
      </c>
      <c r="H13" s="310">
        <f>IF(A13="GL",-0.06*(D13/6.25)^2+0.43*(D13/6.25)+0.2,VLOOKUP(C13,'Daten Grobfutter'!$B$5:$G$29,5,FALSE))</f>
        <v>0</v>
      </c>
      <c r="I13" s="310">
        <f>IF(A13="GL",-0.22*(D13/6.25)^2+1.57*(D13/6.25)+0.24,VLOOKUP(C13,'Daten Grobfutter'!$B$5:$G$29,6,FALSE))</f>
        <v>0</v>
      </c>
      <c r="J13" s="20">
        <f t="shared" si="0"/>
        <v>0</v>
      </c>
      <c r="K13" s="20">
        <f t="shared" si="1"/>
        <v>0</v>
      </c>
      <c r="L13" s="311">
        <f t="shared" si="2"/>
        <v>0</v>
      </c>
      <c r="M13" s="1414">
        <f t="shared" si="3"/>
        <v>0</v>
      </c>
      <c r="N13" s="1414"/>
    </row>
    <row r="14" spans="1:14" s="5" customFormat="1">
      <c r="A14" s="795">
        <f>VLOOKUP(C14,'Daten Grobfutter'!$B$5:$G$29,2,FALSE)</f>
        <v>0</v>
      </c>
      <c r="B14" s="819"/>
      <c r="C14" s="820" t="s">
        <v>163</v>
      </c>
      <c r="D14" s="821"/>
      <c r="E14" s="822"/>
      <c r="F14" s="823" t="s">
        <v>302</v>
      </c>
      <c r="G14" s="310">
        <f>IF(A14="GL",D14/6.25,VLOOKUP(C14,'Daten Grobfutter'!$B$5:$G$29,4,FALSE))</f>
        <v>0</v>
      </c>
      <c r="H14" s="310">
        <f>IF(A14="GL",-0.06*(D14/6.25)^2+0.43*(D14/6.25)+0.2,VLOOKUP(C14,'Daten Grobfutter'!$B$5:$G$29,5,FALSE))</f>
        <v>0</v>
      </c>
      <c r="I14" s="310">
        <f>IF(A14="GL",-0.22*(D14/6.25)^2+1.57*(D14/6.25)+0.24,VLOOKUP(C14,'Daten Grobfutter'!$B$5:$G$29,6,FALSE))</f>
        <v>0</v>
      </c>
      <c r="J14" s="20">
        <f t="shared" si="0"/>
        <v>0</v>
      </c>
      <c r="K14" s="20">
        <f t="shared" si="1"/>
        <v>0</v>
      </c>
      <c r="L14" s="311">
        <f t="shared" si="2"/>
        <v>0</v>
      </c>
      <c r="M14" s="1414">
        <f t="shared" si="3"/>
        <v>0</v>
      </c>
      <c r="N14" s="1414"/>
    </row>
    <row r="15" spans="1:14" s="5" customFormat="1">
      <c r="A15" s="795">
        <f>VLOOKUP(C15,'Daten Grobfutter'!$B$5:$G$29,2,FALSE)</f>
        <v>0</v>
      </c>
      <c r="B15" s="819"/>
      <c r="C15" s="820" t="s">
        <v>163</v>
      </c>
      <c r="D15" s="821"/>
      <c r="E15" s="822"/>
      <c r="F15" s="823" t="s">
        <v>302</v>
      </c>
      <c r="G15" s="310">
        <f>IF(A15="GL",D15/6.25,VLOOKUP(C15,'Daten Grobfutter'!$B$5:$G$29,4,FALSE))</f>
        <v>0</v>
      </c>
      <c r="H15" s="310">
        <f>IF(A15="GL",-0.06*(D15/6.25)^2+0.43*(D15/6.25)+0.2,VLOOKUP(C15,'Daten Grobfutter'!$B$5:$G$29,5,FALSE))</f>
        <v>0</v>
      </c>
      <c r="I15" s="310">
        <f>IF(A15="GL",-0.22*(D15/6.25)^2+1.57*(D15/6.25)+0.24,VLOOKUP(C15,'Daten Grobfutter'!$B$5:$G$29,6,FALSE))</f>
        <v>0</v>
      </c>
      <c r="J15" s="20">
        <f t="shared" si="0"/>
        <v>0</v>
      </c>
      <c r="K15" s="20">
        <f t="shared" si="1"/>
        <v>0</v>
      </c>
      <c r="L15" s="311">
        <f t="shared" si="2"/>
        <v>0</v>
      </c>
      <c r="M15" s="1414">
        <f t="shared" si="3"/>
        <v>0</v>
      </c>
      <c r="N15" s="1414"/>
    </row>
    <row r="16" spans="1:14" s="5" customFormat="1">
      <c r="A16" s="795">
        <f>VLOOKUP(C16,'Daten Grobfutter'!$B$5:$G$29,2,FALSE)</f>
        <v>0</v>
      </c>
      <c r="B16" s="819"/>
      <c r="C16" s="820" t="s">
        <v>163</v>
      </c>
      <c r="D16" s="821"/>
      <c r="E16" s="822"/>
      <c r="F16" s="823" t="s">
        <v>302</v>
      </c>
      <c r="G16" s="310">
        <f>IF(A16="GL",D16/6.25,VLOOKUP(C16,'Daten Grobfutter'!$B$5:$G$29,4,FALSE))</f>
        <v>0</v>
      </c>
      <c r="H16" s="310">
        <f>IF(A16="GL",-0.06*(D16/6.25)^2+0.43*(D16/6.25)+0.2,VLOOKUP(C16,'Daten Grobfutter'!$B$5:$G$29,5,FALSE))</f>
        <v>0</v>
      </c>
      <c r="I16" s="310">
        <f>IF(A16="GL",-0.22*(D16/6.25)^2+1.57*(D16/6.25)+0.24,VLOOKUP(C16,'Daten Grobfutter'!$B$5:$G$29,6,FALSE))</f>
        <v>0</v>
      </c>
      <c r="J16" s="20">
        <f t="shared" si="0"/>
        <v>0</v>
      </c>
      <c r="K16" s="20">
        <f t="shared" si="1"/>
        <v>0</v>
      </c>
      <c r="L16" s="311">
        <f t="shared" si="2"/>
        <v>0</v>
      </c>
      <c r="M16" s="1414">
        <f t="shared" si="3"/>
        <v>0</v>
      </c>
      <c r="N16" s="1414"/>
    </row>
    <row r="17" spans="1:14" s="5" customFormat="1">
      <c r="A17" s="795">
        <f>VLOOKUP(C17,'Daten Grobfutter'!$B$5:$G$29,2,FALSE)</f>
        <v>0</v>
      </c>
      <c r="B17" s="819"/>
      <c r="C17" s="820" t="s">
        <v>163</v>
      </c>
      <c r="D17" s="821"/>
      <c r="E17" s="822"/>
      <c r="F17" s="823" t="s">
        <v>302</v>
      </c>
      <c r="G17" s="310">
        <f>IF(A17="GL",D17/6.25,VLOOKUP(C17,'Daten Grobfutter'!$B$5:$G$29,4,FALSE))</f>
        <v>0</v>
      </c>
      <c r="H17" s="310">
        <f>IF(A17="GL",-0.06*(D17/6.25)^2+0.43*(D17/6.25)+0.2,VLOOKUP(C17,'Daten Grobfutter'!$B$5:$G$29,5,FALSE))</f>
        <v>0</v>
      </c>
      <c r="I17" s="310">
        <f>IF(A17="GL",-0.22*(D17/6.25)^2+1.57*(D17/6.25)+0.24,VLOOKUP(C17,'Daten Grobfutter'!$B$5:$G$29,6,FALSE))</f>
        <v>0</v>
      </c>
      <c r="J17" s="20">
        <f t="shared" si="0"/>
        <v>0</v>
      </c>
      <c r="K17" s="20">
        <f t="shared" si="1"/>
        <v>0</v>
      </c>
      <c r="L17" s="311">
        <f t="shared" si="2"/>
        <v>0</v>
      </c>
      <c r="M17" s="1414">
        <f t="shared" si="3"/>
        <v>0</v>
      </c>
      <c r="N17" s="1414"/>
    </row>
    <row r="18" spans="1:14" s="5" customFormat="1">
      <c r="A18" s="795">
        <f>VLOOKUP(C18,'Daten Grobfutter'!$B$5:$G$29,2,FALSE)</f>
        <v>0</v>
      </c>
      <c r="B18" s="819"/>
      <c r="C18" s="820" t="s">
        <v>163</v>
      </c>
      <c r="D18" s="821"/>
      <c r="E18" s="822"/>
      <c r="F18" s="823" t="s">
        <v>302</v>
      </c>
      <c r="G18" s="310">
        <f>IF(A18="GL",D18/6.25,VLOOKUP(C18,'Daten Grobfutter'!$B$5:$G$29,4,FALSE))</f>
        <v>0</v>
      </c>
      <c r="H18" s="310">
        <f>IF(A18="GL",-0.06*(D18/6.25)^2+0.43*(D18/6.25)+0.2,VLOOKUP(C18,'Daten Grobfutter'!$B$5:$G$29,5,FALSE))</f>
        <v>0</v>
      </c>
      <c r="I18" s="310">
        <f>IF(A18="GL",-0.22*(D18/6.25)^2+1.57*(D18/6.25)+0.24,VLOOKUP(C18,'Daten Grobfutter'!$B$5:$G$29,6,FALSE))</f>
        <v>0</v>
      </c>
      <c r="J18" s="20">
        <f t="shared" si="0"/>
        <v>0</v>
      </c>
      <c r="K18" s="20">
        <f t="shared" si="1"/>
        <v>0</v>
      </c>
      <c r="L18" s="311">
        <f t="shared" si="2"/>
        <v>0</v>
      </c>
      <c r="M18" s="1414">
        <f t="shared" si="3"/>
        <v>0</v>
      </c>
      <c r="N18" s="1414"/>
    </row>
    <row r="19" spans="1:14" s="5" customFormat="1">
      <c r="A19" s="795">
        <f>VLOOKUP(C19,'Daten Grobfutter'!$B$5:$G$29,2,FALSE)</f>
        <v>0</v>
      </c>
      <c r="B19" s="819"/>
      <c r="C19" s="820" t="s">
        <v>163</v>
      </c>
      <c r="D19" s="821"/>
      <c r="E19" s="822"/>
      <c r="F19" s="823" t="s">
        <v>302</v>
      </c>
      <c r="G19" s="310">
        <f>IF(A19="GL",D19/6.25,VLOOKUP(C19,'Daten Grobfutter'!$B$5:$G$29,4,FALSE))</f>
        <v>0</v>
      </c>
      <c r="H19" s="310">
        <f>IF(A19="GL",-0.06*(D19/6.25)^2+0.43*(D19/6.25)+0.2,VLOOKUP(C19,'Daten Grobfutter'!$B$5:$G$29,5,FALSE))</f>
        <v>0</v>
      </c>
      <c r="I19" s="310">
        <f>IF(A19="GL",-0.22*(D19/6.25)^2+1.57*(D19/6.25)+0.24,VLOOKUP(C19,'Daten Grobfutter'!$B$5:$G$29,6,FALSE))</f>
        <v>0</v>
      </c>
      <c r="J19" s="20">
        <f t="shared" si="0"/>
        <v>0</v>
      </c>
      <c r="K19" s="20">
        <f t="shared" si="1"/>
        <v>0</v>
      </c>
      <c r="L19" s="311">
        <f t="shared" si="2"/>
        <v>0</v>
      </c>
      <c r="M19" s="1414">
        <f t="shared" si="3"/>
        <v>0</v>
      </c>
      <c r="N19" s="1414"/>
    </row>
    <row r="20" spans="1:14" s="5" customFormat="1">
      <c r="A20" s="795">
        <f>VLOOKUP(C20,'Daten Grobfutter'!$B$5:$G$29,2,FALSE)</f>
        <v>0</v>
      </c>
      <c r="B20" s="819"/>
      <c r="C20" s="820" t="s">
        <v>163</v>
      </c>
      <c r="D20" s="821"/>
      <c r="E20" s="822"/>
      <c r="F20" s="823" t="s">
        <v>302</v>
      </c>
      <c r="G20" s="310">
        <f>IF(A20="GL",D20/6.25,VLOOKUP(C20,'Daten Grobfutter'!$B$5:$G$29,4,FALSE))</f>
        <v>0</v>
      </c>
      <c r="H20" s="310">
        <f>IF(A20="GL",-0.06*(D20/6.25)^2+0.43*(D20/6.25)+0.2,VLOOKUP(C20,'Daten Grobfutter'!$B$5:$G$29,5,FALSE))</f>
        <v>0</v>
      </c>
      <c r="I20" s="310">
        <f>IF(A20="GL",-0.22*(D20/6.25)^2+1.57*(D20/6.25)+0.24,VLOOKUP(C20,'Daten Grobfutter'!$B$5:$G$29,6,FALSE))</f>
        <v>0</v>
      </c>
      <c r="J20" s="20">
        <f t="shared" si="0"/>
        <v>0</v>
      </c>
      <c r="K20" s="20">
        <f t="shared" si="1"/>
        <v>0</v>
      </c>
      <c r="L20" s="311">
        <f t="shared" si="2"/>
        <v>0</v>
      </c>
      <c r="M20" s="1414">
        <f t="shared" si="3"/>
        <v>0</v>
      </c>
      <c r="N20" s="1414"/>
    </row>
    <row r="21" spans="1:14" s="5" customFormat="1">
      <c r="A21" s="795">
        <f>VLOOKUP(C21,'Daten Grobfutter'!$B$5:$G$29,2,FALSE)</f>
        <v>0</v>
      </c>
      <c r="B21" s="819"/>
      <c r="C21" s="820" t="s">
        <v>163</v>
      </c>
      <c r="D21" s="821"/>
      <c r="E21" s="822"/>
      <c r="F21" s="823" t="s">
        <v>302</v>
      </c>
      <c r="G21" s="310">
        <f>IF(A21="GL",D21/6.25,VLOOKUP(C21,'Daten Grobfutter'!$B$5:$G$29,4,FALSE))</f>
        <v>0</v>
      </c>
      <c r="H21" s="310">
        <f>IF(A21="GL",-0.06*(D21/6.25)^2+0.43*(D21/6.25)+0.2,VLOOKUP(C21,'Daten Grobfutter'!$B$5:$G$29,5,FALSE))</f>
        <v>0</v>
      </c>
      <c r="I21" s="310">
        <f>IF(A21="GL",-0.22*(D21/6.25)^2+1.57*(D21/6.25)+0.24,VLOOKUP(C21,'Daten Grobfutter'!$B$5:$G$29,6,FALSE))</f>
        <v>0</v>
      </c>
      <c r="J21" s="20">
        <f t="shared" si="0"/>
        <v>0</v>
      </c>
      <c r="K21" s="20">
        <f t="shared" si="1"/>
        <v>0</v>
      </c>
      <c r="L21" s="311">
        <f t="shared" si="2"/>
        <v>0</v>
      </c>
      <c r="M21" s="1414">
        <f t="shared" si="3"/>
        <v>0</v>
      </c>
      <c r="N21" s="1414"/>
    </row>
    <row r="22" spans="1:14" s="5" customFormat="1">
      <c r="A22" s="795">
        <f>VLOOKUP(C22,'Daten Grobfutter'!$B$5:$G$29,2,FALSE)</f>
        <v>0</v>
      </c>
      <c r="B22" s="819"/>
      <c r="C22" s="820" t="s">
        <v>163</v>
      </c>
      <c r="D22" s="821"/>
      <c r="E22" s="822"/>
      <c r="F22" s="823" t="s">
        <v>302</v>
      </c>
      <c r="G22" s="310">
        <f>IF(A22="GL",D22/6.25,VLOOKUP(C22,'Daten Grobfutter'!$B$5:$G$29,4,FALSE))</f>
        <v>0</v>
      </c>
      <c r="H22" s="310">
        <f>IF(A22="GL",-0.06*(D22/6.25)^2+0.43*(D22/6.25)+0.2,VLOOKUP(C22,'Daten Grobfutter'!$B$5:$G$29,5,FALSE))</f>
        <v>0</v>
      </c>
      <c r="I22" s="310">
        <f>IF(A22="GL",-0.22*(D22/6.25)^2+1.57*(D22/6.25)+0.24,VLOOKUP(C22,'Daten Grobfutter'!$B$5:$G$29,6,FALSE))</f>
        <v>0</v>
      </c>
      <c r="J22" s="20">
        <f t="shared" si="0"/>
        <v>0</v>
      </c>
      <c r="K22" s="20">
        <f t="shared" si="1"/>
        <v>0</v>
      </c>
      <c r="L22" s="311">
        <f t="shared" si="2"/>
        <v>0</v>
      </c>
      <c r="M22" s="1414">
        <f t="shared" si="3"/>
        <v>0</v>
      </c>
      <c r="N22" s="1414"/>
    </row>
    <row r="23" spans="1:14" s="5" customFormat="1">
      <c r="A23" s="795">
        <f>VLOOKUP(C23,'Daten Grobfutter'!$B$5:$G$29,2,FALSE)</f>
        <v>0</v>
      </c>
      <c r="B23" s="819"/>
      <c r="C23" s="820" t="s">
        <v>163</v>
      </c>
      <c r="D23" s="821"/>
      <c r="E23" s="822"/>
      <c r="F23" s="823" t="s">
        <v>302</v>
      </c>
      <c r="G23" s="310">
        <f>IF(A23="GL",D23/6.25,VLOOKUP(C23,'Daten Grobfutter'!$B$5:$G$29,4,FALSE))</f>
        <v>0</v>
      </c>
      <c r="H23" s="310">
        <f>IF(A23="GL",-0.06*(D23/6.25)^2+0.43*(D23/6.25)+0.2,VLOOKUP(C23,'Daten Grobfutter'!$B$5:$G$29,5,FALSE))</f>
        <v>0</v>
      </c>
      <c r="I23" s="310">
        <f>IF(A23="GL",-0.22*(D23/6.25)^2+1.57*(D23/6.25)+0.24,VLOOKUP(C23,'Daten Grobfutter'!$B$5:$G$29,6,FALSE))</f>
        <v>0</v>
      </c>
      <c r="J23" s="20">
        <f t="shared" si="0"/>
        <v>0</v>
      </c>
      <c r="K23" s="20">
        <f t="shared" si="1"/>
        <v>0</v>
      </c>
      <c r="L23" s="311">
        <f t="shared" si="2"/>
        <v>0</v>
      </c>
      <c r="M23" s="1414">
        <f t="shared" si="3"/>
        <v>0</v>
      </c>
      <c r="N23" s="1414"/>
    </row>
    <row r="24" spans="1:14" s="5" customFormat="1">
      <c r="A24" s="795">
        <f>VLOOKUP(C24,'Daten Grobfutter'!$B$5:$G$29,2,FALSE)</f>
        <v>0</v>
      </c>
      <c r="B24" s="819"/>
      <c r="C24" s="820" t="s">
        <v>163</v>
      </c>
      <c r="D24" s="821"/>
      <c r="E24" s="822"/>
      <c r="F24" s="823" t="s">
        <v>302</v>
      </c>
      <c r="G24" s="310">
        <f>IF(A24="GL",D24/6.25,VLOOKUP(C24,'Daten Grobfutter'!$B$5:$G$29,4,FALSE))</f>
        <v>0</v>
      </c>
      <c r="H24" s="310">
        <f>IF(A24="GL",-0.06*(D24/6.25)^2+0.43*(D24/6.25)+0.2,VLOOKUP(C24,'Daten Grobfutter'!$B$5:$G$29,5,FALSE))</f>
        <v>0</v>
      </c>
      <c r="I24" s="310">
        <f>IF(A24="GL",-0.22*(D24/6.25)^2+1.57*(D24/6.25)+0.24,VLOOKUP(C24,'Daten Grobfutter'!$B$5:$G$29,6,FALSE))</f>
        <v>0</v>
      </c>
      <c r="J24" s="20">
        <f t="shared" si="0"/>
        <v>0</v>
      </c>
      <c r="K24" s="20">
        <f t="shared" si="1"/>
        <v>0</v>
      </c>
      <c r="L24" s="311">
        <f t="shared" si="2"/>
        <v>0</v>
      </c>
      <c r="M24" s="1414">
        <f t="shared" si="3"/>
        <v>0</v>
      </c>
      <c r="N24" s="1414"/>
    </row>
    <row r="25" spans="1:14" s="5" customFormat="1">
      <c r="A25" s="795">
        <f>VLOOKUP(C25,'Daten Grobfutter'!$B$5:$G$29,2,FALSE)</f>
        <v>0</v>
      </c>
      <c r="B25" s="819"/>
      <c r="C25" s="820" t="s">
        <v>163</v>
      </c>
      <c r="D25" s="821"/>
      <c r="E25" s="822"/>
      <c r="F25" s="823" t="s">
        <v>302</v>
      </c>
      <c r="G25" s="310">
        <f>IF(A25="GL",D25/6.25,VLOOKUP(C25,'Daten Grobfutter'!$B$5:$G$29,4,FALSE))</f>
        <v>0</v>
      </c>
      <c r="H25" s="310">
        <f>IF(A25="GL",-0.06*(D25/6.25)^2+0.43*(D25/6.25)+0.2,VLOOKUP(C25,'Daten Grobfutter'!$B$5:$G$29,5,FALSE))</f>
        <v>0</v>
      </c>
      <c r="I25" s="310">
        <f>IF(A25="GL",-0.22*(D25/6.25)^2+1.57*(D25/6.25)+0.24,VLOOKUP(C25,'Daten Grobfutter'!$B$5:$G$29,6,FALSE))</f>
        <v>0</v>
      </c>
      <c r="J25" s="20">
        <f t="shared" si="0"/>
        <v>0</v>
      </c>
      <c r="K25" s="20">
        <f t="shared" si="1"/>
        <v>0</v>
      </c>
      <c r="L25" s="311">
        <f t="shared" si="2"/>
        <v>0</v>
      </c>
      <c r="M25" s="1414">
        <f t="shared" si="3"/>
        <v>0</v>
      </c>
      <c r="N25" s="1414"/>
    </row>
    <row r="26" spans="1:14" s="135" customFormat="1" ht="17.25" customHeight="1">
      <c r="A26" s="796"/>
      <c r="B26" s="301"/>
      <c r="C26" s="866" t="s">
        <v>38</v>
      </c>
      <c r="D26" s="275"/>
      <c r="E26" s="275"/>
      <c r="F26" s="275"/>
      <c r="G26" s="275"/>
      <c r="H26" s="305"/>
      <c r="I26" s="305"/>
      <c r="J26" s="865">
        <f t="shared" ref="J26:L26" si="4">SUM(J11:J25)</f>
        <v>0</v>
      </c>
      <c r="K26" s="865">
        <f t="shared" si="4"/>
        <v>0</v>
      </c>
      <c r="L26" s="865">
        <f t="shared" si="4"/>
        <v>0</v>
      </c>
      <c r="M26" s="1412">
        <f>SUM(M11:N25)</f>
        <v>0</v>
      </c>
      <c r="N26" s="1413"/>
    </row>
    <row r="27" spans="1:14" s="135" customFormat="1" ht="16.5" thickBot="1">
      <c r="A27" s="796"/>
      <c r="B27" s="299"/>
      <c r="C27" s="116"/>
      <c r="D27" s="116"/>
      <c r="E27" s="116"/>
      <c r="F27" s="116"/>
      <c r="G27" s="116"/>
      <c r="H27" s="303"/>
      <c r="I27" s="303"/>
      <c r="J27" s="304"/>
      <c r="K27" s="304"/>
      <c r="L27" s="304"/>
      <c r="M27" s="1045"/>
      <c r="N27" s="1045"/>
    </row>
    <row r="28" spans="1:14" ht="21" customHeight="1">
      <c r="A28" s="796"/>
      <c r="B28" s="1415" t="s">
        <v>1238</v>
      </c>
      <c r="C28" s="1416"/>
      <c r="D28" s="1416"/>
      <c r="E28" s="1417"/>
      <c r="F28" s="116"/>
      <c r="G28" s="116"/>
      <c r="H28" s="303"/>
      <c r="I28" s="303"/>
      <c r="J28" s="304"/>
      <c r="K28" s="304"/>
      <c r="L28" s="304"/>
    </row>
    <row r="29" spans="1:14" s="135" customFormat="1" ht="27.75" customHeight="1">
      <c r="A29" s="796"/>
      <c r="B29" s="1418"/>
      <c r="C29" s="1419"/>
      <c r="D29" s="1419"/>
      <c r="E29" s="1420"/>
      <c r="F29" s="116"/>
      <c r="G29" s="116"/>
      <c r="H29" s="303"/>
      <c r="I29" s="303"/>
      <c r="J29" s="304"/>
      <c r="K29" s="304"/>
      <c r="L29" s="304"/>
      <c r="M29" s="1045"/>
      <c r="N29" s="1045"/>
    </row>
    <row r="30" spans="1:14" s="5" customFormat="1" ht="30" customHeight="1" thickBot="1">
      <c r="A30" s="795"/>
      <c r="B30" s="1421"/>
      <c r="C30" s="1422"/>
      <c r="D30" s="1422"/>
      <c r="E30" s="1423"/>
      <c r="F30" s="13"/>
      <c r="G30" s="13"/>
      <c r="H30" s="13"/>
      <c r="J30" s="1427"/>
      <c r="K30" s="1427"/>
      <c r="L30" s="1427"/>
      <c r="M30" s="816"/>
      <c r="N30" s="816"/>
    </row>
    <row r="31" spans="1:14" s="5" customFormat="1" ht="28.5" customHeight="1">
      <c r="A31" s="796"/>
      <c r="B31" s="306"/>
      <c r="C31" s="420"/>
      <c r="D31" s="420"/>
      <c r="E31" s="434"/>
      <c r="F31" s="437"/>
      <c r="G31" s="1424" t="s">
        <v>17</v>
      </c>
      <c r="H31" s="1425"/>
      <c r="I31" s="1426"/>
      <c r="J31" s="1287" t="s">
        <v>444</v>
      </c>
      <c r="K31" s="1287"/>
      <c r="L31" s="1287"/>
      <c r="M31" s="1429" t="s">
        <v>403</v>
      </c>
      <c r="N31" s="1430"/>
    </row>
    <row r="32" spans="1:14" s="5" customFormat="1" ht="30">
      <c r="A32" s="795"/>
      <c r="B32" s="374" t="s">
        <v>351</v>
      </c>
      <c r="C32" s="435" t="s">
        <v>195</v>
      </c>
      <c r="D32" s="438" t="s">
        <v>1087</v>
      </c>
      <c r="E32" s="725" t="s">
        <v>1118</v>
      </c>
      <c r="F32" s="436"/>
      <c r="G32" s="377" t="s">
        <v>16</v>
      </c>
      <c r="H32" s="377" t="s">
        <v>113</v>
      </c>
      <c r="I32" s="377" t="s">
        <v>114</v>
      </c>
      <c r="J32" s="377" t="s">
        <v>16</v>
      </c>
      <c r="K32" s="377" t="s">
        <v>113</v>
      </c>
      <c r="L32" s="377" t="s">
        <v>114</v>
      </c>
      <c r="M32" s="1428" t="s">
        <v>372</v>
      </c>
      <c r="N32" s="1428"/>
    </row>
    <row r="33" spans="1:14" s="5" customFormat="1">
      <c r="A33" s="795">
        <f>VLOOKUP(C33,'Daten Grobfutter'!$B$5:$G$29,2,FALSE)</f>
        <v>0</v>
      </c>
      <c r="B33" s="819"/>
      <c r="C33" s="820" t="s">
        <v>163</v>
      </c>
      <c r="D33" s="821"/>
      <c r="E33" s="822"/>
      <c r="G33" s="310">
        <f>IF(A33="GL",D33/6.25,VLOOKUP(C33,'Daten Grobfutter'!$B$5:$G$29,4,FALSE))</f>
        <v>0</v>
      </c>
      <c r="H33" s="310">
        <f>IF(A33="GL",-0.06*(D33/6.25)^2+0.43*(D33/6.25)+0.2,VLOOKUP(C33,'Daten Grobfutter'!$B$5:$G$29,5,FALSE))</f>
        <v>0</v>
      </c>
      <c r="I33" s="310">
        <f>IF(A33="GL",-0.22*(D33/6.25)^2+1.57*(D33/6.25)+0.24,VLOOKUP(C33,'Daten Grobfutter'!$B$5:$G$29,6,FALSE))</f>
        <v>0</v>
      </c>
      <c r="J33" s="20">
        <f t="shared" ref="J33:J42" si="5">E33*G33</f>
        <v>0</v>
      </c>
      <c r="K33" s="20">
        <f t="shared" ref="K33:K42" si="6">E33*H33</f>
        <v>0</v>
      </c>
      <c r="L33" s="20">
        <f t="shared" ref="L33:L42" si="7">E33*I33</f>
        <v>0</v>
      </c>
      <c r="M33" s="1414">
        <f>J33*0.1</f>
        <v>0</v>
      </c>
      <c r="N33" s="1414"/>
    </row>
    <row r="34" spans="1:14" s="5" customFormat="1">
      <c r="A34" s="795">
        <f>VLOOKUP(C34,'Daten Grobfutter'!$B$5:$G$29,2,FALSE)</f>
        <v>0</v>
      </c>
      <c r="B34" s="819"/>
      <c r="C34" s="820" t="s">
        <v>163</v>
      </c>
      <c r="D34" s="821"/>
      <c r="E34" s="822"/>
      <c r="F34" s="378"/>
      <c r="G34" s="310">
        <f>IF(A34="GL",D34/6.25,VLOOKUP(C34,'Daten Grobfutter'!$B$5:$G$29,4,FALSE))</f>
        <v>0</v>
      </c>
      <c r="H34" s="310">
        <f>IF(A34="GL",-0.06*(D34/6.25)^2+0.43*(D34/6.25)+0.2,VLOOKUP(C34,'Daten Grobfutter'!$B$5:$G$29,5,FALSE))</f>
        <v>0</v>
      </c>
      <c r="I34" s="310">
        <f>IF(A34="GL",-0.22*(D34/6.25)^2+1.57*(D34/6.25)+0.24,VLOOKUP(C34,'Daten Grobfutter'!$B$5:$G$29,6,FALSE))</f>
        <v>0</v>
      </c>
      <c r="J34" s="20">
        <f t="shared" si="5"/>
        <v>0</v>
      </c>
      <c r="K34" s="20">
        <f t="shared" si="6"/>
        <v>0</v>
      </c>
      <c r="L34" s="20">
        <f t="shared" si="7"/>
        <v>0</v>
      </c>
      <c r="M34" s="1414">
        <f t="shared" ref="M34:M42" si="8">J34*0.1</f>
        <v>0</v>
      </c>
      <c r="N34" s="1414"/>
    </row>
    <row r="35" spans="1:14" ht="15.75">
      <c r="A35" s="795">
        <f>VLOOKUP(C35,'Daten Grobfutter'!$B$5:$G$29,2,FALSE)</f>
        <v>0</v>
      </c>
      <c r="B35" s="824"/>
      <c r="C35" s="820" t="s">
        <v>163</v>
      </c>
      <c r="D35" s="821"/>
      <c r="E35" s="825"/>
      <c r="F35" s="260"/>
      <c r="G35" s="310">
        <f>IF(A35="GL",D35/6.25,VLOOKUP(C35,'Daten Grobfutter'!$B$5:$G$29,4,FALSE))</f>
        <v>0</v>
      </c>
      <c r="H35" s="310">
        <f>IF(A35="GL",-0.06*(D35/6.25)^2+0.43*(D35/6.25)+0.2,VLOOKUP(C35,'Daten Grobfutter'!$B$5:$G$29,5,FALSE))</f>
        <v>0</v>
      </c>
      <c r="I35" s="310">
        <f>IF(A35="GL",-0.22*(D35/6.25)^2+1.57*(D35/6.25)+0.24,VLOOKUP(C35,'Daten Grobfutter'!$B$5:$G$29,6,FALSE))</f>
        <v>0</v>
      </c>
      <c r="J35" s="17">
        <f t="shared" si="5"/>
        <v>0</v>
      </c>
      <c r="K35" s="17">
        <f t="shared" si="6"/>
        <v>0</v>
      </c>
      <c r="L35" s="17">
        <f t="shared" si="7"/>
        <v>0</v>
      </c>
      <c r="M35" s="1414">
        <f t="shared" si="8"/>
        <v>0</v>
      </c>
      <c r="N35" s="1414"/>
    </row>
    <row r="36" spans="1:14" ht="15.75">
      <c r="A36" s="795">
        <f>VLOOKUP(C36,'Daten Grobfutter'!$B$5:$G$29,2,FALSE)</f>
        <v>0</v>
      </c>
      <c r="B36" s="824"/>
      <c r="C36" s="820" t="s">
        <v>163</v>
      </c>
      <c r="D36" s="821"/>
      <c r="E36" s="825"/>
      <c r="F36" s="260"/>
      <c r="G36" s="310">
        <f>IF(A36="GL",D36/6.25,VLOOKUP(C36,'Daten Grobfutter'!$B$5:$G$29,4,FALSE))</f>
        <v>0</v>
      </c>
      <c r="H36" s="310">
        <f>IF(A36="GL",-0.06*(D36/6.25)^2+0.43*(D36/6.25)+0.2,VLOOKUP(C36,'Daten Grobfutter'!$B$5:$G$29,5,FALSE))</f>
        <v>0</v>
      </c>
      <c r="I36" s="310">
        <f>IF(A36="GL",-0.22*(D36/6.25)^2+1.57*(D36/6.25)+0.24,VLOOKUP(C36,'Daten Grobfutter'!$B$5:$G$29,6,FALSE))</f>
        <v>0</v>
      </c>
      <c r="J36" s="17">
        <f t="shared" si="5"/>
        <v>0</v>
      </c>
      <c r="K36" s="17">
        <f t="shared" si="6"/>
        <v>0</v>
      </c>
      <c r="L36" s="17">
        <f t="shared" si="7"/>
        <v>0</v>
      </c>
      <c r="M36" s="1414">
        <f t="shared" si="8"/>
        <v>0</v>
      </c>
      <c r="N36" s="1414"/>
    </row>
    <row r="37" spans="1:14" ht="15.75">
      <c r="A37" s="795">
        <f>VLOOKUP(C37,'Daten Grobfutter'!$B$5:$G$29,2,FALSE)</f>
        <v>0</v>
      </c>
      <c r="B37" s="824"/>
      <c r="C37" s="820" t="s">
        <v>163</v>
      </c>
      <c r="D37" s="821"/>
      <c r="E37" s="825"/>
      <c r="F37" s="260"/>
      <c r="G37" s="310">
        <f>IF(A37="GL",D37/6.25,VLOOKUP(C37,'Daten Grobfutter'!$B$5:$G$29,4,FALSE))</f>
        <v>0</v>
      </c>
      <c r="H37" s="310">
        <f>IF(A37="GL",-0.06*(D37/6.25)^2+0.43*(D37/6.25)+0.2,VLOOKUP(C37,'Daten Grobfutter'!$B$5:$G$29,5,FALSE))</f>
        <v>0</v>
      </c>
      <c r="I37" s="310">
        <f>IF(A37="GL",-0.22*(D37/6.25)^2+1.57*(D37/6.25)+0.24,VLOOKUP(C37,'Daten Grobfutter'!$B$5:$G$29,6,FALSE))</f>
        <v>0</v>
      </c>
      <c r="J37" s="17">
        <f t="shared" si="5"/>
        <v>0</v>
      </c>
      <c r="K37" s="17">
        <f t="shared" si="6"/>
        <v>0</v>
      </c>
      <c r="L37" s="17">
        <f t="shared" si="7"/>
        <v>0</v>
      </c>
      <c r="M37" s="1414">
        <f t="shared" si="8"/>
        <v>0</v>
      </c>
      <c r="N37" s="1414"/>
    </row>
    <row r="38" spans="1:14" ht="15.75">
      <c r="A38" s="795">
        <f>VLOOKUP(C38,'Daten Grobfutter'!$B$5:$G$29,2,FALSE)</f>
        <v>0</v>
      </c>
      <c r="B38" s="824"/>
      <c r="C38" s="820" t="s">
        <v>163</v>
      </c>
      <c r="D38" s="821"/>
      <c r="E38" s="825"/>
      <c r="F38" s="260"/>
      <c r="G38" s="310">
        <f>IF(A38="GL",D38/6.25,VLOOKUP(C38,'Daten Grobfutter'!$B$5:$G$29,4,FALSE))</f>
        <v>0</v>
      </c>
      <c r="H38" s="310">
        <f>IF(A38="GL",-0.06*(D38/6.25)^2+0.43*(D38/6.25)+0.2,VLOOKUP(C38,'Daten Grobfutter'!$B$5:$G$29,5,FALSE))</f>
        <v>0</v>
      </c>
      <c r="I38" s="310">
        <f>IF(A38="GL",-0.22*(D38/6.25)^2+1.57*(D38/6.25)+0.24,VLOOKUP(C38,'Daten Grobfutter'!$B$5:$G$29,6,FALSE))</f>
        <v>0</v>
      </c>
      <c r="J38" s="17">
        <f t="shared" si="5"/>
        <v>0</v>
      </c>
      <c r="K38" s="17">
        <f t="shared" si="6"/>
        <v>0</v>
      </c>
      <c r="L38" s="17">
        <f t="shared" si="7"/>
        <v>0</v>
      </c>
      <c r="M38" s="1414">
        <f t="shared" si="8"/>
        <v>0</v>
      </c>
      <c r="N38" s="1414"/>
    </row>
    <row r="39" spans="1:14" ht="15.75">
      <c r="A39" s="795">
        <f>VLOOKUP(C39,'Daten Grobfutter'!$B$5:$G$29,2,FALSE)</f>
        <v>0</v>
      </c>
      <c r="B39" s="824"/>
      <c r="C39" s="820" t="s">
        <v>163</v>
      </c>
      <c r="D39" s="821"/>
      <c r="E39" s="825"/>
      <c r="F39" s="260"/>
      <c r="G39" s="310">
        <f>IF(A39="GL",D39/6.25,VLOOKUP(C39,'Daten Grobfutter'!$B$5:$G$29,4,FALSE))</f>
        <v>0</v>
      </c>
      <c r="H39" s="310">
        <f>IF(A39="GL",-0.06*(D39/6.25)^2+0.43*(D39/6.25)+0.2,VLOOKUP(C39,'Daten Grobfutter'!$B$5:$G$29,5,FALSE))</f>
        <v>0</v>
      </c>
      <c r="I39" s="310">
        <f>IF(A39="GL",-0.22*(D39/6.25)^2+1.57*(D39/6.25)+0.24,VLOOKUP(C39,'Daten Grobfutter'!$B$5:$G$29,6,FALSE))</f>
        <v>0</v>
      </c>
      <c r="J39" s="17">
        <f t="shared" si="5"/>
        <v>0</v>
      </c>
      <c r="K39" s="17">
        <f t="shared" si="6"/>
        <v>0</v>
      </c>
      <c r="L39" s="17">
        <f t="shared" si="7"/>
        <v>0</v>
      </c>
      <c r="M39" s="1414">
        <f t="shared" si="8"/>
        <v>0</v>
      </c>
      <c r="N39" s="1414"/>
    </row>
    <row r="40" spans="1:14" ht="15.75">
      <c r="A40" s="795">
        <f>VLOOKUP(C40,'Daten Grobfutter'!$B$5:$G$29,2,FALSE)</f>
        <v>0</v>
      </c>
      <c r="B40" s="824"/>
      <c r="C40" s="820" t="s">
        <v>163</v>
      </c>
      <c r="D40" s="821"/>
      <c r="E40" s="825"/>
      <c r="F40" s="260"/>
      <c r="G40" s="310">
        <f>IF(A40="GL",D40/6.25,VLOOKUP(C40,'Daten Grobfutter'!$B$5:$G$29,4,FALSE))</f>
        <v>0</v>
      </c>
      <c r="H40" s="310">
        <f>IF(A40="GL",-0.06*(D40/6.25)^2+0.43*(D40/6.25)+0.2,VLOOKUP(C40,'Daten Grobfutter'!$B$5:$G$29,5,FALSE))</f>
        <v>0</v>
      </c>
      <c r="I40" s="310">
        <f>IF(A40="GL",-0.22*(D40/6.25)^2+1.57*(D40/6.25)+0.24,VLOOKUP(C40,'Daten Grobfutter'!$B$5:$G$29,6,FALSE))</f>
        <v>0</v>
      </c>
      <c r="J40" s="17">
        <f t="shared" si="5"/>
        <v>0</v>
      </c>
      <c r="K40" s="17">
        <f t="shared" si="6"/>
        <v>0</v>
      </c>
      <c r="L40" s="17">
        <f t="shared" si="7"/>
        <v>0</v>
      </c>
      <c r="M40" s="1414">
        <f t="shared" si="8"/>
        <v>0</v>
      </c>
      <c r="N40" s="1414"/>
    </row>
    <row r="41" spans="1:14" s="135" customFormat="1" ht="15.75">
      <c r="A41" s="795">
        <f>VLOOKUP(C41,'Daten Grobfutter'!$B$5:$G$29,2,FALSE)</f>
        <v>0</v>
      </c>
      <c r="B41" s="824"/>
      <c r="C41" s="820" t="s">
        <v>163</v>
      </c>
      <c r="D41" s="821"/>
      <c r="E41" s="825"/>
      <c r="F41" s="260"/>
      <c r="G41" s="310">
        <f>IF(A41="GL",D41/6.25,VLOOKUP(C41,'Daten Grobfutter'!$B$5:$G$29,4,FALSE))</f>
        <v>0</v>
      </c>
      <c r="H41" s="310">
        <f>IF(A41="GL",-0.06*(D41/6.25)^2+0.43*(D41/6.25)+0.2,VLOOKUP(C41,'Daten Grobfutter'!$B$5:$G$29,5,FALSE))</f>
        <v>0</v>
      </c>
      <c r="I41" s="310">
        <f>IF(A41="GL",-0.22*(D41/6.25)^2+1.57*(D41/6.25)+0.24,VLOOKUP(C41,'Daten Grobfutter'!$B$5:$G$29,6,FALSE))</f>
        <v>0</v>
      </c>
      <c r="J41" s="17">
        <f t="shared" si="5"/>
        <v>0</v>
      </c>
      <c r="K41" s="17">
        <f t="shared" si="6"/>
        <v>0</v>
      </c>
      <c r="L41" s="17">
        <f t="shared" si="7"/>
        <v>0</v>
      </c>
      <c r="M41" s="1414">
        <f t="shared" si="8"/>
        <v>0</v>
      </c>
      <c r="N41" s="1414"/>
    </row>
    <row r="42" spans="1:14" ht="15.75">
      <c r="A42" s="795">
        <f>VLOOKUP(C42,'Daten Grobfutter'!$B$5:$G$29,2,FALSE)</f>
        <v>0</v>
      </c>
      <c r="B42" s="824"/>
      <c r="C42" s="820" t="s">
        <v>163</v>
      </c>
      <c r="D42" s="821"/>
      <c r="E42" s="825"/>
      <c r="F42" s="260"/>
      <c r="G42" s="310">
        <f>IF(A42="GL",D42/6.25,VLOOKUP(C42,'Daten Grobfutter'!$B$5:$G$29,4,FALSE))</f>
        <v>0</v>
      </c>
      <c r="H42" s="310">
        <f>IF(A42="GL",-0.06*(D42/6.25)^2+0.43*(D42/6.25)+0.2,VLOOKUP(C42,'Daten Grobfutter'!$B$5:$G$29,5,FALSE))</f>
        <v>0</v>
      </c>
      <c r="I42" s="310">
        <f>IF(A42="GL",-0.22*(D42/6.25)^2+1.57*(D42/6.25)+0.24,VLOOKUP(C42,'Daten Grobfutter'!$B$5:$G$29,6,FALSE))</f>
        <v>0</v>
      </c>
      <c r="J42" s="17">
        <f t="shared" si="5"/>
        <v>0</v>
      </c>
      <c r="K42" s="17">
        <f t="shared" si="6"/>
        <v>0</v>
      </c>
      <c r="L42" s="17">
        <f t="shared" si="7"/>
        <v>0</v>
      </c>
      <c r="M42" s="1414">
        <f t="shared" si="8"/>
        <v>0</v>
      </c>
      <c r="N42" s="1414"/>
    </row>
    <row r="43" spans="1:14" ht="17.25" customHeight="1">
      <c r="A43" s="796"/>
      <c r="B43" s="262"/>
      <c r="C43" s="261" t="s">
        <v>38</v>
      </c>
      <c r="D43" s="261"/>
      <c r="E43" s="261"/>
      <c r="F43" s="261"/>
      <c r="G43" s="261"/>
      <c r="H43" s="261"/>
      <c r="I43" s="273"/>
      <c r="J43" s="402">
        <f>SUM(J33:J42)</f>
        <v>0</v>
      </c>
      <c r="K43" s="402">
        <f t="shared" ref="K43:L43" si="9">SUM(K33:K42)</f>
        <v>0</v>
      </c>
      <c r="L43" s="402">
        <f t="shared" si="9"/>
        <v>0</v>
      </c>
      <c r="M43" s="1412">
        <f>SUM(M33:N42)</f>
        <v>0</v>
      </c>
      <c r="N43" s="1413"/>
    </row>
  </sheetData>
  <sheetProtection sheet="1" objects="1" scenarios="1" formatColumns="0" formatRows="0" selectLockedCells="1"/>
  <mergeCells count="39">
    <mergeCell ref="M19:N19"/>
    <mergeCell ref="M20:N20"/>
    <mergeCell ref="M21:N21"/>
    <mergeCell ref="M32:N32"/>
    <mergeCell ref="M22:N22"/>
    <mergeCell ref="M23:N23"/>
    <mergeCell ref="M24:N24"/>
    <mergeCell ref="M25:N25"/>
    <mergeCell ref="M26:N26"/>
    <mergeCell ref="M31:N31"/>
    <mergeCell ref="M14:N14"/>
    <mergeCell ref="M15:N15"/>
    <mergeCell ref="M16:N16"/>
    <mergeCell ref="M17:N17"/>
    <mergeCell ref="M18:N18"/>
    <mergeCell ref="M10:N10"/>
    <mergeCell ref="M11:N11"/>
    <mergeCell ref="M12:N12"/>
    <mergeCell ref="M9:N9"/>
    <mergeCell ref="M13:N13"/>
    <mergeCell ref="B1:D2"/>
    <mergeCell ref="B28:E30"/>
    <mergeCell ref="J9:L9"/>
    <mergeCell ref="G31:I31"/>
    <mergeCell ref="G9:I9"/>
    <mergeCell ref="J31:L31"/>
    <mergeCell ref="J30:L30"/>
    <mergeCell ref="D4:E4"/>
    <mergeCell ref="M33:N33"/>
    <mergeCell ref="M34:N34"/>
    <mergeCell ref="M35:N35"/>
    <mergeCell ref="M36:N36"/>
    <mergeCell ref="M37:N37"/>
    <mergeCell ref="M43:N43"/>
    <mergeCell ref="M38:N38"/>
    <mergeCell ref="M39:N39"/>
    <mergeCell ref="M40:N40"/>
    <mergeCell ref="M41:N41"/>
    <mergeCell ref="M42:N42"/>
  </mergeCells>
  <dataValidations count="2">
    <dataValidation type="list" allowBlank="1" showInputMessage="1" showErrorMessage="1" sqref="F11:F25">
      <formula1>"an Wiederkäuer verfüttert,an Nichtwiederkäuer verfüttert"</formula1>
    </dataValidation>
    <dataValidation type="list" allowBlank="1" showInputMessage="1" showErrorMessage="1" sqref="C11:C25 C33:C42">
      <formula1>Grobfutter</formula1>
    </dataValidation>
  </dataValidations>
  <pageMargins left="0.7" right="0.7" top="0.78740157499999996" bottom="0.78740157499999996"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8">
    <tabColor theme="4" tint="0.59999389629810485"/>
  </sheetPr>
  <dimension ref="A1:AK61"/>
  <sheetViews>
    <sheetView zoomScale="90" zoomScaleNormal="90" zoomScaleSheetLayoutView="100" workbookViewId="0">
      <selection activeCell="C33" sqref="C33:E33"/>
    </sheetView>
  </sheetViews>
  <sheetFormatPr baseColWidth="10" defaultRowHeight="15.75"/>
  <cols>
    <col min="1" max="1" width="8.85546875" style="950" customWidth="1"/>
    <col min="2" max="2" width="51.140625" style="950" customWidth="1"/>
    <col min="3" max="3" width="13" style="950" customWidth="1"/>
    <col min="4" max="4" width="14.5703125" style="950" customWidth="1"/>
    <col min="5" max="5" width="11.140625" style="950" customWidth="1"/>
    <col min="6" max="6" width="2.28515625" style="950" customWidth="1"/>
    <col min="7" max="7" width="2.5703125" style="1087" customWidth="1"/>
    <col min="8" max="8" width="2.28515625" style="950" customWidth="1"/>
    <col min="9" max="9" width="16.140625" style="950" customWidth="1"/>
    <col min="10" max="10" width="16.42578125" style="950" customWidth="1"/>
    <col min="11" max="11" width="17.5703125" style="950" customWidth="1"/>
    <col min="12" max="12" width="26.28515625" style="950" customWidth="1"/>
    <col min="13" max="13" width="14.28515625" style="950" customWidth="1"/>
    <col min="14" max="14" width="2.85546875" style="950" customWidth="1"/>
    <col min="15" max="15" width="2" style="950" customWidth="1"/>
    <col min="16" max="19" width="11.42578125" style="950"/>
    <col min="20" max="20" width="11.28515625" style="950" customWidth="1"/>
    <col min="21" max="21" width="15.5703125" style="950" customWidth="1"/>
    <col min="22" max="24" width="11.42578125" style="950"/>
    <col min="25" max="25" width="13.7109375" style="950" customWidth="1"/>
    <col min="26" max="31" width="11.42578125" style="950"/>
    <col min="32" max="16384" width="11.42578125" style="392"/>
  </cols>
  <sheetData>
    <row r="1" spans="1:31" s="752" customFormat="1" ht="16.5" thickBot="1">
      <c r="A1" s="950"/>
      <c r="B1" s="950"/>
      <c r="C1" s="950"/>
      <c r="D1" s="950"/>
      <c r="E1" s="950"/>
      <c r="F1" s="950"/>
      <c r="G1" s="1087"/>
      <c r="H1" s="950"/>
      <c r="I1" s="950"/>
      <c r="J1" s="950"/>
      <c r="K1" s="950"/>
      <c r="L1" s="950"/>
      <c r="M1" s="950"/>
      <c r="N1" s="950"/>
      <c r="O1" s="950"/>
      <c r="P1" s="950"/>
      <c r="Q1" s="950"/>
      <c r="R1" s="950"/>
      <c r="S1" s="950"/>
      <c r="T1" s="950"/>
      <c r="U1" s="950"/>
      <c r="V1" s="950"/>
      <c r="W1" s="950"/>
      <c r="X1" s="950"/>
      <c r="Y1" s="950"/>
      <c r="Z1" s="950"/>
      <c r="AA1" s="950"/>
      <c r="AB1" s="950"/>
      <c r="AC1" s="950"/>
      <c r="AD1" s="950"/>
      <c r="AE1" s="950"/>
    </row>
    <row r="2" spans="1:31" s="752" customFormat="1" ht="18" customHeight="1">
      <c r="A2" s="950"/>
      <c r="B2" s="1456" t="s">
        <v>448</v>
      </c>
      <c r="C2" s="953" t="s">
        <v>354</v>
      </c>
      <c r="D2" s="954">
        <f>DATE(Betrieb!D28,Betrieb!C28,Betrieb!B28)</f>
        <v>43831</v>
      </c>
      <c r="E2" s="955" t="s">
        <v>1141</v>
      </c>
      <c r="F2" s="950"/>
      <c r="G2" s="1087"/>
      <c r="H2" s="950"/>
      <c r="I2" s="1458" t="str">
        <f>IF(Betrieb!C3=0,"",Betrieb!C3)</f>
        <v>Landwirtschaft vom Land</v>
      </c>
      <c r="J2" s="1459"/>
      <c r="K2" s="1459"/>
      <c r="L2" s="1459"/>
      <c r="M2" s="1459"/>
      <c r="N2" s="956"/>
      <c r="O2" s="950"/>
      <c r="P2" s="991"/>
      <c r="Q2" s="991"/>
      <c r="R2" s="991"/>
      <c r="S2" s="991"/>
      <c r="T2" s="991"/>
      <c r="U2" s="991"/>
      <c r="V2" s="950"/>
      <c r="W2" s="950"/>
      <c r="X2" s="950"/>
      <c r="Y2" s="950"/>
      <c r="Z2" s="950"/>
      <c r="AA2" s="950"/>
      <c r="AB2" s="950"/>
      <c r="AC2" s="950"/>
      <c r="AD2" s="950"/>
      <c r="AE2" s="950"/>
    </row>
    <row r="3" spans="1:31" s="752" customFormat="1" ht="19.5" customHeight="1" thickBot="1">
      <c r="A3" s="950"/>
      <c r="B3" s="1457"/>
      <c r="C3" s="957" t="s">
        <v>355</v>
      </c>
      <c r="D3" s="958">
        <f>DATE(Betrieb!G28,Betrieb!F28,Betrieb!E28)</f>
        <v>44196</v>
      </c>
      <c r="E3" s="959">
        <f>Pflanzenbau!F67</f>
        <v>0</v>
      </c>
      <c r="F3" s="950"/>
      <c r="G3" s="1087"/>
      <c r="H3" s="950"/>
      <c r="I3" s="1460" t="str">
        <f>IF(Betrieb!C4=0,"",Betrieb!C4)</f>
        <v>Karl vom Land</v>
      </c>
      <c r="J3" s="1461"/>
      <c r="K3" s="1461"/>
      <c r="L3" s="1461"/>
      <c r="M3" s="1461"/>
      <c r="N3" s="960"/>
      <c r="O3" s="950"/>
      <c r="P3" s="991"/>
      <c r="Q3" s="991"/>
      <c r="R3" s="991"/>
      <c r="S3" s="991"/>
      <c r="T3" s="991"/>
      <c r="U3" s="991"/>
      <c r="V3" s="950"/>
      <c r="W3" s="950"/>
      <c r="X3" s="950"/>
      <c r="Y3" s="950"/>
      <c r="Z3" s="950"/>
      <c r="AA3" s="950"/>
      <c r="AB3" s="950"/>
      <c r="AC3" s="950"/>
      <c r="AD3" s="950"/>
      <c r="AE3" s="950"/>
    </row>
    <row r="4" spans="1:31" ht="19.5" thickBot="1">
      <c r="B4" s="1462"/>
      <c r="C4" s="1463"/>
      <c r="D4" s="1463"/>
      <c r="E4" s="1464"/>
      <c r="I4" s="1460" t="str">
        <f>IF(Betrieb!C5=0,"",Betrieb!C5)</f>
        <v>An den Höfen 7, 54321 Landrod</v>
      </c>
      <c r="J4" s="1461"/>
      <c r="K4" s="1461"/>
      <c r="L4" s="1461"/>
      <c r="M4" s="1461"/>
      <c r="N4" s="960"/>
      <c r="P4" s="991"/>
      <c r="Q4" s="991"/>
      <c r="R4" s="991"/>
      <c r="S4" s="991"/>
      <c r="T4" s="991"/>
      <c r="U4" s="991"/>
    </row>
    <row r="5" spans="1:31" ht="18" customHeight="1" thickBot="1">
      <c r="B5" s="915" t="s">
        <v>1097</v>
      </c>
      <c r="C5" s="909" t="s">
        <v>16</v>
      </c>
      <c r="D5" s="909" t="s">
        <v>1122</v>
      </c>
      <c r="E5" s="909" t="s">
        <v>1181</v>
      </c>
      <c r="F5" s="930"/>
      <c r="G5" s="930"/>
      <c r="I5" s="1458" t="str">
        <f>IF(Betrieb!C6=0,"",Betrieb!C6)</f>
        <v>05432 987654</v>
      </c>
      <c r="J5" s="1459"/>
      <c r="K5" s="1459"/>
      <c r="L5" s="1459"/>
      <c r="M5" s="1459"/>
      <c r="N5" s="956"/>
      <c r="P5" s="991"/>
      <c r="Q5" s="991"/>
      <c r="R5" s="991"/>
      <c r="S5" s="991"/>
      <c r="T5" s="991"/>
      <c r="U5" s="991"/>
    </row>
    <row r="6" spans="1:31" ht="18" customHeight="1">
      <c r="B6" s="917" t="s">
        <v>1182</v>
      </c>
      <c r="C6" s="918">
        <f>'Organ. Dünger'!I27</f>
        <v>0</v>
      </c>
      <c r="D6" s="918">
        <f>'Organ. Dünger'!J27</f>
        <v>0</v>
      </c>
      <c r="E6" s="918">
        <f>'Organ. Dünger'!K27</f>
        <v>0</v>
      </c>
      <c r="F6" s="930"/>
      <c r="G6" s="930"/>
      <c r="I6" s="1458" t="str">
        <f>IF(Betrieb!C7=0,"",Betrieb!C7)</f>
        <v>vorname.nachname@dlr.rlp.de</v>
      </c>
      <c r="J6" s="1459"/>
      <c r="K6" s="1459"/>
      <c r="L6" s="1459"/>
      <c r="M6" s="1459"/>
      <c r="N6" s="956"/>
      <c r="P6" s="991"/>
      <c r="Q6" s="991"/>
      <c r="R6" s="991"/>
      <c r="S6" s="991"/>
      <c r="T6" s="991"/>
      <c r="U6" s="991"/>
    </row>
    <row r="7" spans="1:31" ht="18" customHeight="1" thickBot="1">
      <c r="B7" s="917" t="s">
        <v>1183</v>
      </c>
      <c r="C7" s="918">
        <f>'Organ. Dünger'!I35</f>
        <v>0</v>
      </c>
      <c r="D7" s="918">
        <f>'Organ. Dünger'!J35</f>
        <v>0</v>
      </c>
      <c r="E7" s="918">
        <f>'Organ. Dünger'!K35</f>
        <v>0</v>
      </c>
      <c r="F7" s="930"/>
      <c r="G7" s="930"/>
    </row>
    <row r="8" spans="1:31" ht="19.5" customHeight="1">
      <c r="B8" s="905" t="s">
        <v>1175</v>
      </c>
      <c r="C8" s="906">
        <f>Mineraldünger!G43</f>
        <v>0</v>
      </c>
      <c r="D8" s="906">
        <f>Mineraldünger!H43</f>
        <v>0</v>
      </c>
      <c r="E8" s="906">
        <f>Mineraldünger!I43</f>
        <v>0</v>
      </c>
      <c r="F8" s="961"/>
      <c r="G8" s="961"/>
      <c r="I8" s="1468" t="s">
        <v>1237</v>
      </c>
      <c r="J8" s="1469"/>
      <c r="K8" s="1469"/>
      <c r="L8" s="1469"/>
      <c r="M8" s="1470"/>
      <c r="N8" s="962"/>
      <c r="P8" s="1517" t="s">
        <v>1203</v>
      </c>
      <c r="Q8" s="1518"/>
      <c r="R8" s="1518"/>
      <c r="S8" s="1518"/>
      <c r="T8" s="1518"/>
      <c r="U8" s="1519"/>
    </row>
    <row r="9" spans="1:31" ht="18.75" customHeight="1" thickBot="1">
      <c r="B9" s="905" t="s">
        <v>1184</v>
      </c>
      <c r="C9" s="906">
        <f>Biogasanlage!K31</f>
        <v>0</v>
      </c>
      <c r="D9" s="906">
        <f>Biogasanlage!L31</f>
        <v>0</v>
      </c>
      <c r="E9" s="906">
        <f>Biogasanlage!M31</f>
        <v>0</v>
      </c>
      <c r="F9" s="929"/>
      <c r="G9" s="929"/>
      <c r="I9" s="1471"/>
      <c r="J9" s="1472"/>
      <c r="K9" s="1472"/>
      <c r="L9" s="1472"/>
      <c r="M9" s="1473"/>
      <c r="N9" s="962"/>
      <c r="P9" s="1520"/>
      <c r="Q9" s="1521"/>
      <c r="R9" s="1521"/>
      <c r="S9" s="1521"/>
      <c r="T9" s="1521"/>
      <c r="U9" s="1522"/>
    </row>
    <row r="10" spans="1:31" ht="16.5" customHeight="1" thickBot="1">
      <c r="B10" s="905" t="s">
        <v>1185</v>
      </c>
      <c r="C10" s="906">
        <f>Biogasanlage!K50</f>
        <v>0</v>
      </c>
      <c r="D10" s="906">
        <f>Biogasanlage!L50</f>
        <v>0</v>
      </c>
      <c r="E10" s="906">
        <f>Biogasanlage!M50</f>
        <v>0</v>
      </c>
      <c r="F10" s="929"/>
      <c r="G10" s="929"/>
      <c r="I10" s="1474"/>
      <c r="J10" s="1475"/>
      <c r="K10" s="1475"/>
      <c r="L10" s="1475"/>
      <c r="M10" s="1476"/>
      <c r="N10" s="962"/>
      <c r="P10" s="1492" t="s">
        <v>1195</v>
      </c>
      <c r="Q10" s="1493"/>
      <c r="R10" s="1493"/>
      <c r="S10" s="1493"/>
      <c r="T10" s="1494"/>
      <c r="U10" s="963" t="s">
        <v>1196</v>
      </c>
      <c r="AE10" s="392"/>
    </row>
    <row r="11" spans="1:31" ht="19.5" customHeight="1" thickBot="1">
      <c r="B11" s="905" t="s">
        <v>1189</v>
      </c>
      <c r="C11" s="906">
        <f>Grobfutter!J26</f>
        <v>0</v>
      </c>
      <c r="D11" s="906">
        <f>Grobfutter!K26</f>
        <v>0</v>
      </c>
      <c r="E11" s="906">
        <f>Grobfutter!L26</f>
        <v>0</v>
      </c>
      <c r="F11" s="929"/>
      <c r="G11" s="1455"/>
      <c r="I11" s="1465" t="s">
        <v>1100</v>
      </c>
      <c r="J11" s="1466"/>
      <c r="K11" s="1466"/>
      <c r="L11" s="1467"/>
      <c r="M11" s="964" t="s">
        <v>1</v>
      </c>
      <c r="N11" s="961"/>
      <c r="P11" s="1479" t="s">
        <v>1197</v>
      </c>
      <c r="Q11" s="1480"/>
      <c r="R11" s="1480"/>
      <c r="S11" s="1480"/>
      <c r="T11" s="1481"/>
      <c r="U11" s="965">
        <f>Tierhaltung!N45+Tierhaltung!O45</f>
        <v>0</v>
      </c>
      <c r="AE11" s="392"/>
    </row>
    <row r="12" spans="1:31" ht="16.5" customHeight="1">
      <c r="B12" s="905" t="s">
        <v>1176</v>
      </c>
      <c r="C12" s="906">
        <f>Futtermittel!I62</f>
        <v>0</v>
      </c>
      <c r="D12" s="906">
        <f>Futtermittel!J62</f>
        <v>0</v>
      </c>
      <c r="E12" s="906">
        <f>Futtermittel!K62</f>
        <v>0</v>
      </c>
      <c r="F12" s="929"/>
      <c r="G12" s="1455"/>
      <c r="I12" s="966" t="s">
        <v>170</v>
      </c>
      <c r="J12" s="1477" t="s">
        <v>1456</v>
      </c>
      <c r="K12" s="1477"/>
      <c r="L12" s="1477"/>
      <c r="M12" s="919">
        <f>Pflanzenbau!F67*50</f>
        <v>0</v>
      </c>
      <c r="N12" s="929"/>
      <c r="P12" s="1498" t="s">
        <v>1198</v>
      </c>
      <c r="Q12" s="1499"/>
      <c r="R12" s="1499"/>
      <c r="S12" s="1499"/>
      <c r="T12" s="1500"/>
      <c r="U12" s="968">
        <f>Tierhaltung!P45</f>
        <v>0</v>
      </c>
      <c r="AE12" s="392"/>
    </row>
    <row r="13" spans="1:31">
      <c r="B13" s="905" t="s">
        <v>1177</v>
      </c>
      <c r="C13" s="906">
        <f>Saatgut!H21</f>
        <v>0</v>
      </c>
      <c r="D13" s="906">
        <f>Saatgut!I21</f>
        <v>0</v>
      </c>
      <c r="E13" s="906">
        <f>Saatgut!J21</f>
        <v>0</v>
      </c>
      <c r="F13" s="929"/>
      <c r="G13" s="1455"/>
      <c r="I13" s="970" t="s">
        <v>171</v>
      </c>
      <c r="J13" s="1434" t="s">
        <v>758</v>
      </c>
      <c r="K13" s="1434"/>
      <c r="L13" s="1434"/>
      <c r="M13" s="921">
        <f>Tierhaltung!$AB$45</f>
        <v>0</v>
      </c>
      <c r="N13" s="1067"/>
      <c r="P13" s="1485" t="s">
        <v>1216</v>
      </c>
      <c r="Q13" s="1486"/>
      <c r="R13" s="1486"/>
      <c r="S13" s="1486"/>
      <c r="T13" s="1486"/>
      <c r="U13" s="969">
        <f>Tierhaltung!Q45</f>
        <v>0</v>
      </c>
      <c r="AE13" s="392"/>
    </row>
    <row r="14" spans="1:31" ht="15.75" customHeight="1">
      <c r="B14" s="905" t="s">
        <v>1178</v>
      </c>
      <c r="C14" s="906">
        <f>Tiere!I36</f>
        <v>0</v>
      </c>
      <c r="D14" s="906">
        <f>Tiere!J36</f>
        <v>0</v>
      </c>
      <c r="E14" s="906">
        <f>Tiere!K36</f>
        <v>0</v>
      </c>
      <c r="F14" s="929"/>
      <c r="G14" s="1455"/>
      <c r="I14" s="966" t="s">
        <v>172</v>
      </c>
      <c r="J14" s="1434" t="s">
        <v>759</v>
      </c>
      <c r="K14" s="1434"/>
      <c r="L14" s="1434"/>
      <c r="M14" s="1128">
        <f>Pflanzenbau!$V$67+Biogasanlage!$N$31</f>
        <v>0</v>
      </c>
      <c r="N14" s="929"/>
      <c r="P14" s="1485" t="s">
        <v>1217</v>
      </c>
      <c r="Q14" s="1486"/>
      <c r="R14" s="1486"/>
      <c r="S14" s="1486"/>
      <c r="T14" s="1486"/>
      <c r="U14" s="967">
        <f>Pflanzenbau!X67</f>
        <v>0</v>
      </c>
      <c r="AE14" s="392"/>
    </row>
    <row r="15" spans="1:31" ht="16.5" thickBot="1">
      <c r="B15" s="935" t="s">
        <v>150</v>
      </c>
      <c r="C15" s="908">
        <f>Pflanzenbau!I67</f>
        <v>0</v>
      </c>
      <c r="D15" s="971"/>
      <c r="E15" s="972"/>
      <c r="F15" s="929"/>
      <c r="G15" s="929"/>
      <c r="I15" s="966" t="s">
        <v>173</v>
      </c>
      <c r="J15" s="1434" t="s">
        <v>758</v>
      </c>
      <c r="K15" s="1434"/>
      <c r="L15" s="1434"/>
      <c r="M15" s="921">
        <f>Pflanzenbau!$X$67+Biogasanlage!$O$31+Biogasanlage!$N$50</f>
        <v>0</v>
      </c>
      <c r="N15" s="929"/>
      <c r="P15" s="1482" t="s">
        <v>1218</v>
      </c>
      <c r="Q15" s="1483"/>
      <c r="R15" s="1483"/>
      <c r="S15" s="1483"/>
      <c r="T15" s="1484"/>
      <c r="U15" s="968">
        <f>Biogasanlage!J50+Biogasanlage!J69</f>
        <v>0</v>
      </c>
      <c r="AE15" s="392"/>
    </row>
    <row r="16" spans="1:31" ht="16.5" thickBot="1">
      <c r="B16" s="915" t="s">
        <v>162</v>
      </c>
      <c r="C16" s="916">
        <f>SUM(C6:C15)</f>
        <v>0</v>
      </c>
      <c r="D16" s="916">
        <f>SUM(D6:D15)</f>
        <v>0</v>
      </c>
      <c r="E16" s="916">
        <f>SUM(E6:E15)</f>
        <v>0</v>
      </c>
      <c r="F16" s="929"/>
      <c r="G16" s="929"/>
      <c r="I16" s="970" t="s">
        <v>174</v>
      </c>
      <c r="J16" s="1434" t="s">
        <v>761</v>
      </c>
      <c r="K16" s="1434"/>
      <c r="L16" s="1434"/>
      <c r="M16" s="921" t="str">
        <f>IF(M12=0,"0",Tierhaltung!$AC$45+Pflanzenbau!$Z$67)</f>
        <v>0</v>
      </c>
      <c r="N16" s="929"/>
      <c r="P16" s="1482" t="s">
        <v>1199</v>
      </c>
      <c r="Q16" s="1483"/>
      <c r="R16" s="1483"/>
      <c r="S16" s="1483"/>
      <c r="T16" s="1484"/>
      <c r="U16" s="967">
        <f>'Organ. Dünger'!$G$27</f>
        <v>0</v>
      </c>
      <c r="AE16" s="392"/>
    </row>
    <row r="17" spans="2:37" ht="16.5" thickBot="1">
      <c r="F17" s="929"/>
      <c r="G17" s="929"/>
      <c r="I17" s="966" t="s">
        <v>175</v>
      </c>
      <c r="J17" s="1434" t="s">
        <v>760</v>
      </c>
      <c r="K17" s="1434"/>
      <c r="L17" s="1434"/>
      <c r="M17" s="921" t="str">
        <f>IF(M12=0,"0",'Organ. Dünger'!$H$27+'Organ. Dünger'!$H$35+Biogasanlage!$P$31+Biogasanlage!$O$50)</f>
        <v>0</v>
      </c>
      <c r="N17" s="929"/>
      <c r="P17" s="1489" t="s">
        <v>1200</v>
      </c>
      <c r="Q17" s="1490"/>
      <c r="R17" s="1490"/>
      <c r="S17" s="1490"/>
      <c r="T17" s="1491"/>
      <c r="U17" s="968">
        <f>Tierhaltung!N45+'Organ. Dünger'!G62+Biogasanlage!K88</f>
        <v>0</v>
      </c>
      <c r="AE17" s="392"/>
    </row>
    <row r="18" spans="2:37" ht="18.75" thickBot="1">
      <c r="B18" s="915" t="s">
        <v>1098</v>
      </c>
      <c r="C18" s="909" t="s">
        <v>16</v>
      </c>
      <c r="D18" s="909" t="s">
        <v>1122</v>
      </c>
      <c r="E18" s="910" t="s">
        <v>1181</v>
      </c>
      <c r="F18" s="974"/>
      <c r="G18" s="1478"/>
      <c r="I18" s="966" t="s">
        <v>176</v>
      </c>
      <c r="J18" s="1434" t="s">
        <v>762</v>
      </c>
      <c r="K18" s="1434"/>
      <c r="L18" s="1434"/>
      <c r="M18" s="921">
        <f>Tierhaltung!$R$49</f>
        <v>0</v>
      </c>
      <c r="N18" s="929"/>
      <c r="P18" s="1495" t="s">
        <v>1201</v>
      </c>
      <c r="Q18" s="1496"/>
      <c r="R18" s="1496"/>
      <c r="S18" s="1496"/>
      <c r="T18" s="1497"/>
      <c r="U18" s="973">
        <f>SUM(U11:U16)-U17</f>
        <v>0</v>
      </c>
      <c r="Z18" s="1087"/>
      <c r="AA18" s="1087"/>
      <c r="AB18" s="1087"/>
      <c r="AC18" s="1087"/>
      <c r="AE18" s="392"/>
    </row>
    <row r="19" spans="2:37" ht="18.75" customHeight="1" thickBot="1">
      <c r="B19" s="917" t="s">
        <v>1190</v>
      </c>
      <c r="C19" s="918">
        <f>Tierhaltung!AE45+'Organ. Dünger'!I62</f>
        <v>0</v>
      </c>
      <c r="D19" s="918">
        <f>Tierhaltung!AF45+'Organ. Dünger'!J62</f>
        <v>0</v>
      </c>
      <c r="E19" s="920">
        <f>Tierhaltung!AG45+'Organ. Dünger'!K62</f>
        <v>0</v>
      </c>
      <c r="F19" s="976"/>
      <c r="G19" s="1478"/>
      <c r="I19" s="977" t="s">
        <v>1214</v>
      </c>
      <c r="J19" s="1452" t="s">
        <v>266</v>
      </c>
      <c r="K19" s="1452"/>
      <c r="L19" s="1452"/>
      <c r="M19" s="922">
        <f>Tierhaltung!$AD$45</f>
        <v>0</v>
      </c>
      <c r="N19" s="929"/>
      <c r="Z19" s="1087"/>
      <c r="AA19" s="1087"/>
      <c r="AB19" s="1087"/>
      <c r="AC19" s="1087"/>
      <c r="AE19" s="392"/>
    </row>
    <row r="20" spans="2:37" ht="16.5" thickBot="1">
      <c r="B20" s="917" t="s">
        <v>1186</v>
      </c>
      <c r="C20" s="918">
        <f>Biogasanlage!K69</f>
        <v>0</v>
      </c>
      <c r="D20" s="918">
        <f>Biogasanlage!L69</f>
        <v>0</v>
      </c>
      <c r="E20" s="918">
        <f>Biogasanlage!M69</f>
        <v>0</v>
      </c>
      <c r="G20" s="1478"/>
      <c r="I20" s="1453" t="s">
        <v>764</v>
      </c>
      <c r="J20" s="1454"/>
      <c r="K20" s="1454"/>
      <c r="L20" s="1454"/>
      <c r="M20" s="979">
        <f>SUM(M12:M19)</f>
        <v>0</v>
      </c>
      <c r="N20" s="978"/>
      <c r="P20" s="1492" t="s">
        <v>1202</v>
      </c>
      <c r="Q20" s="1493"/>
      <c r="R20" s="1493"/>
      <c r="S20" s="1493"/>
      <c r="T20" s="1494"/>
      <c r="U20" s="975">
        <f>E3</f>
        <v>0</v>
      </c>
      <c r="Y20" s="1087"/>
      <c r="Z20" s="1087"/>
      <c r="AA20" s="1087"/>
      <c r="AB20" s="1087"/>
      <c r="AC20" s="1087"/>
      <c r="AE20" s="392"/>
    </row>
    <row r="21" spans="2:37" ht="15.75" customHeight="1" thickBot="1">
      <c r="B21" s="905" t="s">
        <v>1187</v>
      </c>
      <c r="C21" s="906">
        <f>Pflanzenbau!S67</f>
        <v>0</v>
      </c>
      <c r="D21" s="906">
        <f>Pflanzenbau!T67</f>
        <v>0</v>
      </c>
      <c r="E21" s="906">
        <f>Pflanzenbau!U67</f>
        <v>0</v>
      </c>
      <c r="F21" s="961"/>
      <c r="G21" s="1431"/>
      <c r="I21" s="980"/>
      <c r="J21" s="980"/>
      <c r="P21" s="1492" t="s">
        <v>1191</v>
      </c>
      <c r="Q21" s="1493"/>
      <c r="R21" s="1493"/>
      <c r="S21" s="1493"/>
      <c r="T21" s="1494"/>
      <c r="U21" s="975" t="str">
        <f>IF(U20=0,"keine Fläche",U18/U20)</f>
        <v>keine Fläche</v>
      </c>
      <c r="Y21" s="1087"/>
      <c r="Z21" s="1087"/>
      <c r="AA21" s="1087"/>
      <c r="AB21" s="1087"/>
      <c r="AC21" s="1087"/>
      <c r="AE21" s="392"/>
    </row>
    <row r="22" spans="2:37" ht="15.75" customHeight="1" thickBot="1">
      <c r="B22" s="905" t="s">
        <v>1188</v>
      </c>
      <c r="C22" s="906">
        <f>Grobfutter!J43</f>
        <v>0</v>
      </c>
      <c r="D22" s="906">
        <f>Grobfutter!K43</f>
        <v>0</v>
      </c>
      <c r="E22" s="906">
        <f>Grobfutter!L43</f>
        <v>0</v>
      </c>
      <c r="F22" s="929"/>
      <c r="G22" s="1431"/>
      <c r="I22" s="1438" t="s">
        <v>1101</v>
      </c>
      <c r="J22" s="1439"/>
      <c r="K22" s="1439"/>
      <c r="L22" s="1439"/>
      <c r="M22" s="1440"/>
      <c r="N22" s="930"/>
      <c r="P22" s="1479" t="s">
        <v>1192</v>
      </c>
      <c r="Q22" s="1480"/>
      <c r="R22" s="1480"/>
      <c r="S22" s="1480"/>
      <c r="T22" s="1481"/>
      <c r="U22" s="965">
        <f>'Organ. Dünger'!G35</f>
        <v>0</v>
      </c>
      <c r="Y22" s="1087"/>
      <c r="Z22" s="1087"/>
      <c r="AA22" s="1087"/>
      <c r="AB22" s="1087"/>
      <c r="AC22" s="1087"/>
      <c r="AE22" s="392"/>
    </row>
    <row r="23" spans="2:37" ht="17.25" customHeight="1" thickBot="1">
      <c r="B23" s="905" t="s">
        <v>1179</v>
      </c>
      <c r="C23" s="906">
        <f>'tier. Produkte'!H62</f>
        <v>0</v>
      </c>
      <c r="D23" s="906">
        <f>'tier. Produkte'!I62</f>
        <v>0</v>
      </c>
      <c r="E23" s="906">
        <f>'tier. Produkte'!J62</f>
        <v>0</v>
      </c>
      <c r="F23" s="929"/>
      <c r="G23" s="1431"/>
      <c r="I23" s="1446"/>
      <c r="J23" s="1448" t="s">
        <v>976</v>
      </c>
      <c r="K23" s="1450" t="s">
        <v>975</v>
      </c>
      <c r="L23" s="1507" t="s">
        <v>763</v>
      </c>
      <c r="M23" s="1508"/>
      <c r="N23" s="930"/>
      <c r="P23" s="1489" t="s">
        <v>1193</v>
      </c>
      <c r="Q23" s="1490"/>
      <c r="R23" s="1490"/>
      <c r="S23" s="1490"/>
      <c r="T23" s="1491"/>
      <c r="U23" s="968" t="str">
        <f>IF(U20=0,"keine Fläche",U22/U20)</f>
        <v>keine Fläche</v>
      </c>
      <c r="Y23" s="1087"/>
      <c r="Z23" s="1087"/>
      <c r="AA23" s="1087"/>
      <c r="AB23" s="1087"/>
      <c r="AC23" s="1087"/>
      <c r="AE23" s="392"/>
    </row>
    <row r="24" spans="2:37" ht="16.5" customHeight="1" thickBot="1">
      <c r="B24" s="907" t="s">
        <v>1180</v>
      </c>
      <c r="C24" s="908">
        <f>Tiere!I67+Tiere!I114</f>
        <v>0</v>
      </c>
      <c r="D24" s="908">
        <f>Tiere!J67+Tiere!J114</f>
        <v>0</v>
      </c>
      <c r="E24" s="908">
        <f>Tiere!K67+Tiere!K114</f>
        <v>0</v>
      </c>
      <c r="F24" s="929"/>
      <c r="G24" s="929"/>
      <c r="I24" s="1447"/>
      <c r="J24" s="1449"/>
      <c r="K24" s="1451"/>
      <c r="L24" s="1509"/>
      <c r="M24" s="1510"/>
      <c r="N24" s="930"/>
      <c r="P24" s="1492" t="s">
        <v>1194</v>
      </c>
      <c r="Q24" s="1493"/>
      <c r="R24" s="1493"/>
      <c r="S24" s="1493"/>
      <c r="T24" s="1494"/>
      <c r="U24" s="975" t="str">
        <f>IF(U20=0,"keine Fläche",(U18+U22)/U20)</f>
        <v>keine Fläche</v>
      </c>
      <c r="Y24" s="1087"/>
      <c r="Z24" s="1087"/>
      <c r="AA24" s="1087"/>
      <c r="AB24" s="1087"/>
      <c r="AC24" s="1087"/>
      <c r="AE24" s="392"/>
    </row>
    <row r="25" spans="2:37" ht="16.5" customHeight="1" thickBot="1">
      <c r="B25" s="915" t="s">
        <v>162</v>
      </c>
      <c r="C25" s="916">
        <f>SUM(C19:C24)</f>
        <v>0</v>
      </c>
      <c r="D25" s="916">
        <f t="shared" ref="D25:E25" si="0">SUM(D19:D24)</f>
        <v>0</v>
      </c>
      <c r="E25" s="916">
        <f t="shared" si="0"/>
        <v>0</v>
      </c>
      <c r="F25" s="929"/>
      <c r="G25" s="929"/>
      <c r="I25" s="917" t="s">
        <v>353</v>
      </c>
      <c r="J25" s="918">
        <f>C29</f>
        <v>0</v>
      </c>
      <c r="K25" s="981">
        <f>C28</f>
        <v>0</v>
      </c>
      <c r="L25" s="1435">
        <f>M20</f>
        <v>0</v>
      </c>
      <c r="M25" s="1436"/>
      <c r="N25" s="948"/>
      <c r="P25" s="1192" t="str">
        <f>IF(U21="keine Fläche","Es wird keine Fläche bewirtschaftet",IF(U21&gt;170,"Der Betrieb überschreitet die N-Obergrenze.",IF(U23&gt;510,"Der Betrieb überschreitet die zulässige Menge von 510 kg N/ha mit Kompost",IF(U23&gt;170,"Der Betrieb bringt im aktuellen Düngejahr mehr als 170 kg N/ha mit Kompost aus, darf aber in drei Jahren 510 kg N/ha mit Kompost nicht überschreiten.","Der Betrieb hält die N-Obergrenze ein."))))</f>
        <v>Es wird keine Fläche bewirtschaftet</v>
      </c>
      <c r="Q25" s="1193"/>
      <c r="R25" s="1193"/>
      <c r="S25" s="1193"/>
      <c r="T25" s="1193"/>
      <c r="U25" s="1194"/>
    </row>
    <row r="26" spans="2:37" ht="16.5" thickBot="1">
      <c r="F26" s="929"/>
      <c r="G26" s="929"/>
      <c r="I26" s="905" t="s">
        <v>376</v>
      </c>
      <c r="J26" s="906">
        <f>Betrieb!P26</f>
        <v>0</v>
      </c>
      <c r="K26" s="982">
        <f>Betrieb!Q26</f>
        <v>0</v>
      </c>
      <c r="L26" s="1437">
        <f>Betrieb!R26</f>
        <v>0</v>
      </c>
      <c r="M26" s="1183"/>
      <c r="N26" s="948"/>
      <c r="P26" s="1195"/>
      <c r="Q26" s="1196"/>
      <c r="R26" s="1196"/>
      <c r="S26" s="1196"/>
      <c r="T26" s="1196"/>
      <c r="U26" s="1197"/>
      <c r="Z26" s="1087"/>
      <c r="AA26" s="1087"/>
      <c r="AB26" s="1087"/>
      <c r="AC26" s="1087"/>
      <c r="AD26" s="1087"/>
    </row>
    <row r="27" spans="2:37" ht="16.5" customHeight="1" thickBot="1">
      <c r="B27" s="909" t="s">
        <v>1099</v>
      </c>
      <c r="C27" s="909" t="s">
        <v>16</v>
      </c>
      <c r="D27" s="910" t="s">
        <v>1122</v>
      </c>
      <c r="E27" s="909" t="s">
        <v>1181</v>
      </c>
      <c r="F27" s="929"/>
      <c r="G27" s="929"/>
      <c r="I27" s="907" t="s">
        <v>377</v>
      </c>
      <c r="J27" s="906">
        <f>Betrieb!P27</f>
        <v>0</v>
      </c>
      <c r="K27" s="982">
        <f>Betrieb!Q27</f>
        <v>0</v>
      </c>
      <c r="L27" s="1437">
        <f>Betrieb!R27</f>
        <v>0</v>
      </c>
      <c r="M27" s="1183"/>
      <c r="N27" s="948"/>
      <c r="P27" s="1198"/>
      <c r="Q27" s="1199"/>
      <c r="R27" s="1199"/>
      <c r="S27" s="1199"/>
      <c r="T27" s="1199"/>
      <c r="U27" s="1200"/>
      <c r="Z27" s="1087"/>
      <c r="AA27" s="1087"/>
      <c r="AB27" s="1087"/>
      <c r="AC27" s="1087"/>
      <c r="AD27" s="1087"/>
    </row>
    <row r="28" spans="2:37" ht="16.5" customHeight="1" thickBot="1">
      <c r="B28" s="911" t="s">
        <v>159</v>
      </c>
      <c r="C28" s="912">
        <f>C16-C25</f>
        <v>0</v>
      </c>
      <c r="D28" s="913">
        <f>D16-D25</f>
        <v>0</v>
      </c>
      <c r="E28" s="914">
        <f>E16-E25</f>
        <v>0</v>
      </c>
      <c r="F28" s="976"/>
      <c r="G28" s="976"/>
      <c r="I28" s="1062" t="s">
        <v>388</v>
      </c>
      <c r="J28" s="1061">
        <f>AVERAGE(J25:J27)</f>
        <v>0</v>
      </c>
      <c r="K28" s="1063">
        <f>AVERAGE(K25:K27)</f>
        <v>0</v>
      </c>
      <c r="L28" s="1487">
        <f>AVERAGE(L25:L27)</f>
        <v>0</v>
      </c>
      <c r="M28" s="1488"/>
      <c r="N28" s="948"/>
    </row>
    <row r="29" spans="2:37" ht="16.5" customHeight="1" thickBot="1">
      <c r="B29" s="915" t="s">
        <v>160</v>
      </c>
      <c r="C29" s="916">
        <f>IF(Betrieb!F9=0,0,'Ausdruck Stoffstrombilanz'!C28/E3)</f>
        <v>0</v>
      </c>
      <c r="D29" s="916">
        <f>IF(Betrieb!F9=0,0,'Ausdruck Stoffstrombilanz'!D28/E3)</f>
        <v>0</v>
      </c>
      <c r="E29" s="916">
        <f>IF(Betrieb!F9=0,0,'Ausdruck Stoffstrombilanz'!E28/E3)</f>
        <v>0</v>
      </c>
      <c r="I29" s="1511" t="str">
        <f>IF(AND(M12=0,K28&gt;L28*1.1),"Der Betrieb bewirtschaftet keine Flächen und hält den betriebsspezifisch zulässigen N-Bilanzwert nicht ein!",IF(AND(M12=0,K28&lt;L28*1.1),"Der Betrieb bewirtschaftet keine Flächen. Er hält den betriebsspezifisch zulässigen N-Bilanzwert ein",IF(AND(J28&gt;175,K28&lt;L28*1.1),"Der Betrieb überschreitet zwar den zulässigen Saldo von 175 kg N/ha, hält aber den betriebsspezifisch zulässigen N-Bilanzwert ein",IF(AND(J28&gt;175,K28&gt;L28*1.1),"Der Betrieb überschreitet sowohl den zulässigen Saldo von 175 kg N/ha als auch den betriebsspezifisch zulässigen N-Bilanzwert",IF(AND(J28&lt;175,K28&gt;L28*1.1),"Der Betrieb hält den zulässigen Saldo von 175 kg N/ha ein. Der betriebsspezifisch zulässige N-Bilanzwert wird zwar nicht eingehalten, dies ist jedoch nicht prüfungsrelevant.","Der Betrieb hält den zulässigen Saldo von 175 kg N/ha und den betriebsspezifisch zulässigen N-Bilanzwert ein.")))))</f>
        <v>Der Betrieb hält den zulässigen Saldo von 175 kg N/ha und den betriebsspezifisch zulässigen N-Bilanzwert ein.</v>
      </c>
      <c r="J29" s="1502"/>
      <c r="K29" s="1502"/>
      <c r="L29" s="1502"/>
      <c r="M29" s="1508"/>
      <c r="N29" s="930"/>
    </row>
    <row r="30" spans="2:37" ht="16.5" customHeight="1">
      <c r="F30" s="961"/>
      <c r="G30" s="961"/>
      <c r="I30" s="1512"/>
      <c r="J30" s="1513"/>
      <c r="K30" s="1513"/>
      <c r="L30" s="1513"/>
      <c r="M30" s="1514"/>
      <c r="N30" s="930"/>
    </row>
    <row r="31" spans="2:37" ht="16.5" customHeight="1">
      <c r="B31" s="1441" t="s">
        <v>1143</v>
      </c>
      <c r="C31" s="1442"/>
      <c r="D31" s="1443"/>
      <c r="E31" s="985"/>
      <c r="F31" s="929"/>
      <c r="G31" s="929"/>
      <c r="I31" s="1512"/>
      <c r="J31" s="1513"/>
      <c r="K31" s="1513"/>
      <c r="L31" s="1513"/>
      <c r="M31" s="1514"/>
      <c r="N31" s="930"/>
      <c r="P31" s="951"/>
    </row>
    <row r="32" spans="2:37" ht="15.75" customHeight="1">
      <c r="B32" s="1442"/>
      <c r="C32" s="1442"/>
      <c r="D32" s="1443"/>
      <c r="E32" s="985"/>
      <c r="F32" s="976"/>
      <c r="G32" s="976"/>
      <c r="I32" s="1512"/>
      <c r="J32" s="1513"/>
      <c r="K32" s="1513"/>
      <c r="L32" s="1513"/>
      <c r="M32" s="1514"/>
      <c r="N32" s="930"/>
      <c r="P32" s="951"/>
      <c r="Y32" s="951"/>
      <c r="Z32" s="951"/>
      <c r="AA32" s="951"/>
      <c r="AB32" s="951"/>
      <c r="AC32" s="951"/>
      <c r="AD32" s="951"/>
      <c r="AE32" s="951"/>
      <c r="AF32" s="904"/>
      <c r="AG32" s="904"/>
      <c r="AH32" s="904"/>
      <c r="AI32" s="904"/>
      <c r="AJ32" s="904"/>
      <c r="AK32" s="904"/>
    </row>
    <row r="33" spans="1:37" ht="16.5" thickBot="1">
      <c r="B33" s="986"/>
      <c r="C33" s="1444" t="s">
        <v>856</v>
      </c>
      <c r="D33" s="1445"/>
      <c r="E33" s="1445"/>
      <c r="I33" s="1515"/>
      <c r="J33" s="1516"/>
      <c r="K33" s="1516"/>
      <c r="L33" s="1516"/>
      <c r="M33" s="1510"/>
      <c r="N33" s="930"/>
      <c r="P33" s="951"/>
      <c r="Y33" s="951"/>
      <c r="Z33" s="951"/>
      <c r="AA33" s="951"/>
      <c r="AB33" s="951"/>
      <c r="AC33" s="951"/>
      <c r="AD33" s="951"/>
      <c r="AE33" s="951"/>
      <c r="AF33" s="904"/>
      <c r="AG33" s="904"/>
      <c r="AH33" s="904"/>
      <c r="AI33" s="904"/>
      <c r="AJ33" s="904"/>
      <c r="AK33" s="904"/>
    </row>
    <row r="34" spans="1:37" ht="16.5" thickBot="1">
      <c r="B34" s="1432" t="s">
        <v>1128</v>
      </c>
      <c r="C34" s="1433"/>
      <c r="D34" s="1433"/>
      <c r="E34" s="1433"/>
      <c r="H34" s="951"/>
      <c r="I34" s="946"/>
      <c r="J34" s="946"/>
      <c r="K34" s="946"/>
      <c r="L34" s="946"/>
      <c r="M34" s="946"/>
      <c r="Y34" s="951"/>
      <c r="Z34" s="951"/>
      <c r="AA34" s="951"/>
      <c r="AB34" s="951"/>
      <c r="AC34" s="951"/>
      <c r="AD34" s="951"/>
      <c r="AE34" s="951"/>
      <c r="AF34" s="904"/>
      <c r="AG34" s="904"/>
      <c r="AH34" s="904"/>
      <c r="AI34" s="904"/>
      <c r="AJ34" s="904"/>
      <c r="AK34" s="904"/>
    </row>
    <row r="35" spans="1:37" s="947" customFormat="1">
      <c r="A35" s="950"/>
      <c r="B35" s="1432" t="s">
        <v>1129</v>
      </c>
      <c r="C35" s="1433"/>
      <c r="D35" s="1433"/>
      <c r="E35" s="1433"/>
      <c r="F35" s="950"/>
      <c r="G35" s="1087"/>
      <c r="H35" s="951"/>
      <c r="I35" s="1501" t="str">
        <f>IF(J28&lt;=I41,"Für den Betrieb gilt eine Bodenuntersuchungspflicht in mit Nitrat belasteten Gebieten.", "Der Betrieb ist von der Bodenuntersuchungspflicht in mit Nitrat belasteten Gebieten freigestellt.")</f>
        <v>Für den Betrieb gilt eine Bodenuntersuchungspflicht in mit Nitrat belasteten Gebieten.</v>
      </c>
      <c r="J35" s="1502"/>
      <c r="K35" s="1502"/>
      <c r="L35" s="1502"/>
      <c r="M35" s="1503"/>
      <c r="N35" s="950"/>
      <c r="O35" s="950"/>
      <c r="P35" s="950"/>
      <c r="Y35" s="951"/>
      <c r="Z35" s="951"/>
      <c r="AA35" s="951"/>
      <c r="AB35" s="951"/>
      <c r="AC35" s="951"/>
      <c r="AD35" s="951"/>
      <c r="AE35" s="951"/>
      <c r="AF35" s="904"/>
      <c r="AG35" s="904"/>
      <c r="AH35" s="904"/>
      <c r="AI35" s="904"/>
      <c r="AJ35" s="904"/>
      <c r="AK35" s="904"/>
    </row>
    <row r="36" spans="1:37" ht="16.5" thickBot="1">
      <c r="B36" s="392"/>
      <c r="C36" s="392"/>
      <c r="D36" s="392"/>
      <c r="E36" s="392"/>
      <c r="I36" s="1504"/>
      <c r="J36" s="1505"/>
      <c r="K36" s="1505"/>
      <c r="L36" s="1505"/>
      <c r="M36" s="1506"/>
      <c r="Y36" s="951"/>
      <c r="Z36" s="951"/>
      <c r="AA36" s="951"/>
      <c r="AB36" s="951"/>
      <c r="AC36" s="951"/>
      <c r="AD36" s="951"/>
      <c r="AE36" s="951"/>
      <c r="AF36" s="904"/>
      <c r="AG36" s="904"/>
      <c r="AH36" s="904"/>
      <c r="AI36" s="904"/>
      <c r="AJ36" s="904"/>
      <c r="AK36" s="904"/>
    </row>
    <row r="37" spans="1:37" s="947" customFormat="1">
      <c r="A37" s="950"/>
      <c r="B37" s="987"/>
      <c r="C37" s="988"/>
      <c r="D37" s="988"/>
      <c r="E37" s="988"/>
      <c r="F37" s="950"/>
      <c r="G37" s="1087"/>
      <c r="H37" s="950"/>
      <c r="I37" s="1158" t="s">
        <v>1245</v>
      </c>
      <c r="J37" s="1159"/>
      <c r="K37" s="1159"/>
      <c r="L37" s="1159"/>
      <c r="M37" s="1405"/>
      <c r="N37" s="950"/>
      <c r="O37" s="950"/>
      <c r="P37" s="950"/>
      <c r="Y37" s="951"/>
      <c r="Z37" s="951"/>
      <c r="AA37" s="951"/>
      <c r="AB37" s="951"/>
      <c r="AC37" s="951"/>
      <c r="AD37" s="951"/>
      <c r="AE37" s="951"/>
      <c r="AF37" s="904"/>
      <c r="AG37" s="904"/>
      <c r="AH37" s="904"/>
      <c r="AI37" s="904"/>
      <c r="AJ37" s="904"/>
      <c r="AK37" s="904"/>
    </row>
    <row r="38" spans="1:37" s="947" customFormat="1" ht="15.75" customHeight="1">
      <c r="A38" s="950"/>
      <c r="B38" s="987"/>
      <c r="C38" s="988"/>
      <c r="D38" s="988"/>
      <c r="E38" s="988"/>
      <c r="F38" s="950"/>
      <c r="G38" s="1087"/>
      <c r="H38" s="950"/>
      <c r="I38" s="1161"/>
      <c r="J38" s="1162"/>
      <c r="K38" s="1162"/>
      <c r="L38" s="1162"/>
      <c r="M38" s="1406"/>
      <c r="N38" s="950"/>
      <c r="O38" s="950"/>
      <c r="P38" s="950"/>
      <c r="Q38" s="1088"/>
      <c r="Y38" s="951"/>
      <c r="Z38" s="951"/>
      <c r="AA38" s="951"/>
      <c r="AB38" s="951"/>
      <c r="AC38" s="951"/>
      <c r="AD38" s="951"/>
      <c r="AE38" s="951"/>
      <c r="AF38" s="904"/>
      <c r="AG38" s="904"/>
      <c r="AH38" s="904"/>
      <c r="AI38" s="904"/>
      <c r="AJ38" s="904"/>
      <c r="AK38" s="904"/>
    </row>
    <row r="39" spans="1:37" s="947" customFormat="1">
      <c r="A39" s="950"/>
      <c r="B39" s="987"/>
      <c r="C39" s="988"/>
      <c r="D39" s="988"/>
      <c r="E39" s="988"/>
      <c r="F39" s="950"/>
      <c r="G39" s="1087"/>
      <c r="H39" s="950"/>
      <c r="I39" s="1161"/>
      <c r="J39" s="1162"/>
      <c r="K39" s="1162"/>
      <c r="L39" s="1162"/>
      <c r="M39" s="1406"/>
      <c r="N39" s="950"/>
      <c r="O39" s="950"/>
      <c r="P39" s="950"/>
      <c r="Y39" s="951"/>
      <c r="Z39" s="951"/>
      <c r="AA39" s="951"/>
      <c r="AB39" s="951"/>
      <c r="AC39" s="951"/>
      <c r="AD39" s="951"/>
      <c r="AE39" s="951"/>
      <c r="AF39" s="904"/>
      <c r="AG39" s="904"/>
      <c r="AH39" s="904"/>
      <c r="AI39" s="904"/>
      <c r="AJ39" s="904"/>
      <c r="AK39" s="904"/>
    </row>
    <row r="40" spans="1:37" s="947" customFormat="1" ht="16.5" thickBot="1">
      <c r="A40" s="950"/>
      <c r="B40" s="987"/>
      <c r="C40" s="988"/>
      <c r="D40" s="1092"/>
      <c r="E40" s="988"/>
      <c r="F40" s="950"/>
      <c r="G40" s="1087"/>
      <c r="H40" s="950"/>
      <c r="I40" s="1164"/>
      <c r="J40" s="1165"/>
      <c r="K40" s="1165"/>
      <c r="L40" s="1165"/>
      <c r="M40" s="1407"/>
      <c r="N40" s="950"/>
      <c r="O40" s="950"/>
      <c r="P40" s="950"/>
      <c r="Y40" s="951"/>
      <c r="Z40" s="951"/>
      <c r="AA40" s="951"/>
      <c r="AB40" s="951"/>
      <c r="AC40" s="951"/>
      <c r="AD40" s="951"/>
      <c r="AE40" s="951"/>
      <c r="AF40" s="904"/>
      <c r="AG40" s="904"/>
      <c r="AH40" s="904"/>
      <c r="AI40" s="904"/>
      <c r="AJ40" s="904"/>
      <c r="AK40" s="904"/>
    </row>
    <row r="41" spans="1:37" s="947" customFormat="1">
      <c r="A41" s="950"/>
      <c r="B41" s="987"/>
      <c r="C41" s="988"/>
      <c r="D41" s="988"/>
      <c r="E41" s="988"/>
      <c r="F41" s="950"/>
      <c r="G41" s="1087"/>
      <c r="H41" s="950"/>
      <c r="I41" s="989">
        <f>35+(35*Betrieb!M30)</f>
        <v>35</v>
      </c>
      <c r="N41" s="950"/>
      <c r="O41" s="950"/>
      <c r="P41" s="950"/>
      <c r="Y41" s="951"/>
      <c r="Z41" s="951"/>
      <c r="AA41" s="951"/>
      <c r="AB41" s="951"/>
      <c r="AC41" s="951"/>
      <c r="AD41" s="951"/>
      <c r="AE41" s="951"/>
      <c r="AF41" s="904"/>
      <c r="AG41" s="904"/>
      <c r="AH41" s="904"/>
      <c r="AI41" s="904"/>
      <c r="AJ41" s="904"/>
      <c r="AK41" s="904"/>
    </row>
    <row r="42" spans="1:37" s="947" customFormat="1">
      <c r="A42" s="950"/>
      <c r="B42" s="987"/>
      <c r="C42" s="988"/>
      <c r="D42" s="988"/>
      <c r="E42" s="988"/>
      <c r="F42" s="950"/>
      <c r="G42" s="1087"/>
      <c r="H42" s="950"/>
      <c r="I42" s="392"/>
      <c r="J42" s="950"/>
      <c r="K42" s="950"/>
      <c r="L42" s="950"/>
      <c r="M42" s="950"/>
      <c r="N42" s="950"/>
      <c r="O42" s="950"/>
      <c r="P42" s="950"/>
      <c r="Y42" s="951"/>
      <c r="Z42" s="951"/>
      <c r="AA42" s="951"/>
      <c r="AB42" s="951"/>
      <c r="AC42" s="951"/>
      <c r="AD42" s="951"/>
      <c r="AE42" s="951"/>
      <c r="AF42" s="904"/>
      <c r="AG42" s="904"/>
      <c r="AH42" s="904"/>
      <c r="AI42" s="904"/>
      <c r="AJ42" s="904"/>
      <c r="AK42" s="904"/>
    </row>
    <row r="43" spans="1:37" ht="18" customHeight="1">
      <c r="J43" s="943" t="str">
        <f>Einführung!B3</f>
        <v>SSB-RLP, Vers. 1.8,   21.06.2021</v>
      </c>
      <c r="P43" s="951"/>
      <c r="AD43" s="1143"/>
      <c r="AE43" s="1143"/>
      <c r="AF43" s="1143"/>
      <c r="AG43" s="1143"/>
      <c r="AH43" s="1143"/>
      <c r="AI43" s="1143"/>
    </row>
    <row r="44" spans="1:37">
      <c r="B44" s="983" t="s">
        <v>1219</v>
      </c>
      <c r="C44" s="231"/>
      <c r="D44" s="231"/>
      <c r="E44" s="231"/>
      <c r="F44" s="231"/>
      <c r="G44" s="231"/>
      <c r="H44" s="231"/>
      <c r="I44" s="231"/>
      <c r="J44" s="231"/>
      <c r="K44" s="231"/>
      <c r="L44" s="231"/>
      <c r="M44" s="231"/>
      <c r="N44" s="231"/>
      <c r="P44" s="951"/>
      <c r="AD44" s="1143"/>
      <c r="AE44" s="1143"/>
      <c r="AF44" s="1143"/>
      <c r="AG44" s="1143"/>
      <c r="AH44" s="1143"/>
      <c r="AI44" s="1143"/>
    </row>
    <row r="45" spans="1:37">
      <c r="B45" s="984"/>
      <c r="C45" s="952"/>
      <c r="D45" s="952"/>
      <c r="E45" s="952"/>
      <c r="F45" s="952"/>
      <c r="G45" s="952"/>
      <c r="H45" s="952"/>
      <c r="I45" s="952"/>
      <c r="J45" s="952"/>
      <c r="K45" s="952"/>
      <c r="L45" s="952"/>
      <c r="M45" s="952"/>
      <c r="N45" s="952"/>
      <c r="P45" s="951"/>
      <c r="Q45" s="951"/>
      <c r="R45" s="951"/>
      <c r="S45" s="951"/>
      <c r="T45" s="951"/>
      <c r="U45" s="951"/>
      <c r="V45" s="951"/>
      <c r="W45" s="951"/>
    </row>
    <row r="46" spans="1:37">
      <c r="B46" s="984"/>
      <c r="C46" s="952"/>
      <c r="D46" s="952"/>
      <c r="E46" s="952"/>
      <c r="F46" s="952"/>
      <c r="G46" s="952"/>
      <c r="H46" s="952"/>
      <c r="I46" s="952"/>
      <c r="J46" s="952"/>
      <c r="K46" s="952"/>
      <c r="L46" s="952"/>
      <c r="M46" s="952"/>
      <c r="N46" s="952"/>
      <c r="P46" s="951"/>
      <c r="Q46" s="951"/>
      <c r="R46" s="951"/>
      <c r="S46" s="951"/>
      <c r="T46" s="951"/>
      <c r="U46" s="951"/>
      <c r="V46" s="951"/>
      <c r="W46" s="951"/>
    </row>
    <row r="47" spans="1:37">
      <c r="B47" s="984"/>
      <c r="C47" s="952"/>
      <c r="D47" s="952"/>
      <c r="E47" s="952"/>
      <c r="F47" s="952"/>
      <c r="G47" s="952"/>
      <c r="H47" s="952"/>
      <c r="I47" s="952"/>
      <c r="J47" s="952"/>
      <c r="K47" s="952"/>
      <c r="L47" s="952"/>
      <c r="M47" s="952"/>
      <c r="N47" s="952"/>
      <c r="P47" s="951"/>
      <c r="Q47" s="951"/>
      <c r="R47" s="951"/>
      <c r="S47" s="951"/>
      <c r="T47" s="951"/>
      <c r="U47" s="951"/>
      <c r="V47" s="951"/>
      <c r="W47" s="951"/>
    </row>
    <row r="48" spans="1:37">
      <c r="B48" s="984"/>
      <c r="C48" s="952"/>
      <c r="D48" s="952"/>
      <c r="E48" s="952"/>
      <c r="F48" s="952"/>
      <c r="G48" s="952"/>
      <c r="H48" s="952"/>
      <c r="I48" s="952"/>
      <c r="J48" s="952"/>
      <c r="K48" s="952"/>
      <c r="L48" s="952"/>
      <c r="M48" s="952"/>
      <c r="N48" s="952"/>
      <c r="P48" s="951"/>
      <c r="Q48" s="951"/>
      <c r="R48" s="951"/>
      <c r="S48" s="951"/>
      <c r="T48" s="951"/>
      <c r="U48" s="951"/>
      <c r="V48" s="951"/>
      <c r="W48" s="951"/>
    </row>
    <row r="49" spans="2:23">
      <c r="B49" s="984"/>
      <c r="C49" s="952"/>
      <c r="D49" s="952"/>
      <c r="E49" s="952"/>
      <c r="F49" s="952"/>
      <c r="G49" s="952"/>
      <c r="H49" s="952"/>
      <c r="I49" s="952"/>
      <c r="J49" s="952"/>
      <c r="K49" s="952"/>
      <c r="L49" s="952"/>
      <c r="M49" s="952"/>
      <c r="N49" s="952"/>
      <c r="P49" s="951"/>
      <c r="Q49" s="951"/>
      <c r="R49" s="951"/>
      <c r="S49" s="951"/>
      <c r="T49" s="951"/>
      <c r="U49" s="951"/>
      <c r="V49" s="951"/>
      <c r="W49" s="951"/>
    </row>
    <row r="50" spans="2:23">
      <c r="B50" s="984"/>
      <c r="C50" s="952"/>
      <c r="D50" s="952"/>
      <c r="E50" s="952"/>
      <c r="F50" s="952"/>
      <c r="G50" s="952"/>
      <c r="H50" s="952"/>
      <c r="I50" s="952"/>
      <c r="J50" s="952"/>
      <c r="K50" s="952"/>
      <c r="L50" s="952"/>
      <c r="M50" s="952"/>
      <c r="N50" s="952"/>
      <c r="P50" s="951"/>
      <c r="Q50" s="951"/>
      <c r="R50" s="951"/>
      <c r="S50" s="951"/>
      <c r="T50" s="951"/>
      <c r="U50" s="951"/>
      <c r="V50" s="951"/>
      <c r="W50" s="951"/>
    </row>
    <row r="51" spans="2:23">
      <c r="B51" s="984"/>
      <c r="C51" s="952"/>
      <c r="D51" s="952"/>
      <c r="E51" s="952"/>
      <c r="F51" s="952"/>
      <c r="G51" s="952"/>
      <c r="H51" s="952"/>
      <c r="I51" s="952"/>
      <c r="J51" s="952"/>
      <c r="K51" s="952"/>
      <c r="L51" s="952"/>
      <c r="M51" s="952"/>
      <c r="N51" s="952"/>
      <c r="P51" s="951"/>
      <c r="Q51" s="951"/>
      <c r="R51" s="951"/>
      <c r="S51" s="951"/>
      <c r="T51" s="951"/>
      <c r="U51" s="951"/>
      <c r="V51" s="951"/>
      <c r="W51" s="951"/>
    </row>
    <row r="52" spans="2:23">
      <c r="B52" s="984"/>
      <c r="C52" s="952"/>
      <c r="D52" s="952"/>
      <c r="E52" s="952"/>
      <c r="F52" s="952"/>
      <c r="G52" s="952"/>
      <c r="H52" s="952"/>
      <c r="I52" s="952"/>
      <c r="J52" s="952"/>
      <c r="K52" s="952"/>
      <c r="L52" s="952"/>
      <c r="M52" s="952"/>
      <c r="N52" s="952"/>
    </row>
    <row r="53" spans="2:23">
      <c r="B53" s="984"/>
      <c r="C53" s="952"/>
      <c r="D53" s="952"/>
      <c r="E53" s="952"/>
      <c r="F53" s="952"/>
      <c r="G53" s="952"/>
      <c r="H53" s="952"/>
      <c r="I53" s="952"/>
      <c r="J53" s="952"/>
      <c r="K53" s="952"/>
      <c r="L53" s="952"/>
      <c r="M53" s="952"/>
      <c r="N53" s="952"/>
    </row>
    <row r="54" spans="2:23">
      <c r="B54" s="984"/>
      <c r="C54" s="952"/>
      <c r="D54" s="952"/>
      <c r="E54" s="952"/>
      <c r="F54" s="952"/>
      <c r="G54" s="952"/>
      <c r="H54" s="952"/>
      <c r="I54" s="952"/>
      <c r="J54" s="952"/>
      <c r="K54" s="952"/>
      <c r="L54" s="952"/>
      <c r="M54" s="952"/>
      <c r="N54" s="952"/>
    </row>
    <row r="55" spans="2:23">
      <c r="B55" s="984"/>
      <c r="C55" s="952"/>
      <c r="D55" s="952"/>
      <c r="E55" s="952"/>
      <c r="F55" s="952"/>
      <c r="G55" s="952"/>
      <c r="H55" s="952"/>
      <c r="I55" s="952"/>
      <c r="J55" s="952"/>
      <c r="K55" s="952"/>
      <c r="L55" s="952"/>
      <c r="M55" s="952"/>
      <c r="N55" s="952"/>
    </row>
    <row r="56" spans="2:23">
      <c r="B56" s="984"/>
      <c r="C56" s="952"/>
      <c r="D56" s="952"/>
      <c r="E56" s="952"/>
      <c r="F56" s="952"/>
      <c r="G56" s="952"/>
      <c r="H56" s="952"/>
      <c r="I56" s="952"/>
      <c r="J56" s="952"/>
      <c r="K56" s="952"/>
      <c r="L56" s="952"/>
      <c r="M56" s="952"/>
      <c r="N56" s="952"/>
    </row>
    <row r="57" spans="2:23">
      <c r="B57" s="984"/>
      <c r="C57" s="952"/>
      <c r="D57" s="952"/>
      <c r="E57" s="952"/>
      <c r="F57" s="952"/>
      <c r="G57" s="952"/>
      <c r="H57" s="952"/>
      <c r="I57" s="952"/>
      <c r="J57" s="952"/>
      <c r="K57" s="952"/>
      <c r="L57" s="952"/>
      <c r="M57" s="952"/>
      <c r="N57" s="952"/>
    </row>
    <row r="58" spans="2:23">
      <c r="B58" s="984"/>
      <c r="C58" s="952"/>
      <c r="D58" s="952"/>
      <c r="E58" s="952"/>
      <c r="F58" s="952"/>
      <c r="G58" s="952"/>
      <c r="H58" s="952"/>
      <c r="I58" s="952"/>
      <c r="J58" s="952"/>
      <c r="K58" s="952"/>
      <c r="L58" s="952"/>
      <c r="M58" s="952"/>
      <c r="N58" s="952"/>
    </row>
    <row r="59" spans="2:23">
      <c r="B59" s="984"/>
      <c r="C59" s="952"/>
      <c r="D59" s="952"/>
      <c r="E59" s="952"/>
      <c r="F59" s="952"/>
      <c r="G59" s="952"/>
      <c r="H59" s="952"/>
      <c r="I59" s="952"/>
      <c r="J59" s="952"/>
      <c r="K59" s="952"/>
      <c r="L59" s="952"/>
      <c r="M59" s="952"/>
      <c r="N59" s="952"/>
    </row>
    <row r="60" spans="2:23">
      <c r="B60" s="984"/>
      <c r="C60" s="952"/>
      <c r="D60" s="952"/>
      <c r="E60" s="952"/>
      <c r="F60" s="952"/>
      <c r="G60" s="952"/>
      <c r="H60" s="952"/>
      <c r="I60" s="952"/>
      <c r="J60" s="952"/>
      <c r="K60" s="952"/>
      <c r="L60" s="952"/>
      <c r="M60" s="952"/>
      <c r="N60" s="952"/>
    </row>
    <row r="61" spans="2:23">
      <c r="B61" s="984"/>
      <c r="C61" s="952"/>
      <c r="D61" s="952"/>
      <c r="E61" s="952"/>
      <c r="F61" s="952"/>
      <c r="G61" s="952"/>
      <c r="H61" s="952"/>
      <c r="I61" s="952"/>
      <c r="J61" s="952"/>
      <c r="K61" s="952"/>
      <c r="L61" s="952"/>
      <c r="M61" s="952"/>
      <c r="N61" s="952"/>
    </row>
  </sheetData>
  <sheetProtection sheet="1" objects="1" scenarios="1" formatColumns="0" formatRows="0" selectLockedCells="1"/>
  <mergeCells count="55">
    <mergeCell ref="P21:T21"/>
    <mergeCell ref="I35:M36"/>
    <mergeCell ref="L23:M24"/>
    <mergeCell ref="I29:M33"/>
    <mergeCell ref="P8:U9"/>
    <mergeCell ref="P10:T10"/>
    <mergeCell ref="P13:T13"/>
    <mergeCell ref="J16:L16"/>
    <mergeCell ref="G11:G12"/>
    <mergeCell ref="I37:M40"/>
    <mergeCell ref="P22:T22"/>
    <mergeCell ref="P15:T15"/>
    <mergeCell ref="P14:T14"/>
    <mergeCell ref="L28:M28"/>
    <mergeCell ref="P16:T16"/>
    <mergeCell ref="P17:T17"/>
    <mergeCell ref="P25:U27"/>
    <mergeCell ref="P24:T24"/>
    <mergeCell ref="P23:T23"/>
    <mergeCell ref="P18:T18"/>
    <mergeCell ref="P20:T20"/>
    <mergeCell ref="P11:T11"/>
    <mergeCell ref="P12:T12"/>
    <mergeCell ref="J15:L15"/>
    <mergeCell ref="G13:G14"/>
    <mergeCell ref="J13:L13"/>
    <mergeCell ref="AD43:AI44"/>
    <mergeCell ref="B2:B3"/>
    <mergeCell ref="L26:M26"/>
    <mergeCell ref="I2:M2"/>
    <mergeCell ref="I3:M3"/>
    <mergeCell ref="B4:E4"/>
    <mergeCell ref="I4:M4"/>
    <mergeCell ref="I11:L11"/>
    <mergeCell ref="I8:M10"/>
    <mergeCell ref="I5:M5"/>
    <mergeCell ref="I6:M6"/>
    <mergeCell ref="J12:L12"/>
    <mergeCell ref="J14:L14"/>
    <mergeCell ref="G18:G20"/>
    <mergeCell ref="G21:G23"/>
    <mergeCell ref="B34:E34"/>
    <mergeCell ref="B35:E35"/>
    <mergeCell ref="J17:L17"/>
    <mergeCell ref="L25:M25"/>
    <mergeCell ref="L27:M27"/>
    <mergeCell ref="I22:M22"/>
    <mergeCell ref="B31:D32"/>
    <mergeCell ref="C33:E33"/>
    <mergeCell ref="I23:I24"/>
    <mergeCell ref="J23:J24"/>
    <mergeCell ref="K23:K24"/>
    <mergeCell ref="J18:L18"/>
    <mergeCell ref="J19:L19"/>
    <mergeCell ref="I20:L20"/>
  </mergeCells>
  <hyperlinks>
    <hyperlink ref="C33" r:id="rId1"/>
  </hyperlinks>
  <pageMargins left="0.70866141732283472" right="0.70866141732283472" top="0.78740157480314965" bottom="0.78740157480314965" header="0.31496062992125984" footer="0.31496062992125984"/>
  <pageSetup paperSize="9" scale="75" orientation="landscape" r:id="rId2"/>
  <rowBreaks count="1" manualBreakCount="1">
    <brk id="43" max="12" man="1"/>
  </rowBreaks>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theme="0"/>
    <pageSetUpPr fitToPage="1"/>
  </sheetPr>
  <dimension ref="A1:AV236"/>
  <sheetViews>
    <sheetView zoomScale="90" zoomScaleNormal="90" workbookViewId="0">
      <selection activeCell="A3" sqref="A3"/>
    </sheetView>
  </sheetViews>
  <sheetFormatPr baseColWidth="10" defaultRowHeight="15.75"/>
  <cols>
    <col min="1" max="1" width="24.5703125" style="572" bestFit="1" customWidth="1"/>
    <col min="2" max="2" width="52.7109375" style="52" customWidth="1"/>
    <col min="3" max="3" width="11.42578125" style="52"/>
    <col min="4" max="4" width="12.42578125" style="19" customWidth="1"/>
    <col min="5" max="5" width="14.28515625" style="52" customWidth="1"/>
    <col min="6" max="6" width="10.5703125" style="52" customWidth="1"/>
    <col min="7" max="7" width="3.140625" style="19" customWidth="1"/>
    <col min="8" max="8" width="10.85546875" style="19" customWidth="1"/>
    <col min="9" max="9" width="10.5703125" style="52" customWidth="1"/>
    <col min="10" max="10" width="9.7109375" style="52" customWidth="1"/>
    <col min="11" max="11" width="12.42578125" style="52" customWidth="1"/>
    <col min="12" max="12" width="9.85546875" style="52" customWidth="1"/>
    <col min="13" max="13" width="11.7109375" style="52" customWidth="1"/>
    <col min="14" max="14" width="10.42578125" style="52" customWidth="1"/>
    <col min="15" max="17" width="8.7109375" style="52" customWidth="1"/>
    <col min="18" max="19" width="23" style="52" customWidth="1"/>
    <col min="20" max="20" width="45.85546875" style="52" bestFit="1" customWidth="1"/>
    <col min="21" max="21" width="17.85546875" style="52" bestFit="1" customWidth="1"/>
    <col min="22" max="22" width="10.5703125" style="52" bestFit="1" customWidth="1"/>
    <col min="23" max="23" width="12" style="52" customWidth="1"/>
    <col min="24" max="24" width="7.42578125" style="52" bestFit="1" customWidth="1"/>
    <col min="25" max="25" width="7.140625" style="52" customWidth="1"/>
    <col min="26" max="26" width="18.140625" style="52" customWidth="1"/>
    <col min="27" max="27" width="17.85546875" style="52" bestFit="1" customWidth="1"/>
    <col min="28" max="28" width="12" style="52" bestFit="1" customWidth="1"/>
    <col min="29" max="16384" width="11.42578125" style="52"/>
  </cols>
  <sheetData>
    <row r="1" spans="1:48" ht="15.75" customHeight="1">
      <c r="B1" s="51"/>
    </row>
    <row r="2" spans="1:48">
      <c r="B2" s="89" t="s">
        <v>750</v>
      </c>
      <c r="I2" s="1528" t="s">
        <v>374</v>
      </c>
      <c r="J2" s="1529"/>
      <c r="K2" s="1529"/>
      <c r="O2" s="1528" t="s">
        <v>373</v>
      </c>
      <c r="P2" s="1529"/>
      <c r="Q2" s="1529"/>
      <c r="T2" s="89" t="s">
        <v>92</v>
      </c>
      <c r="V2" s="19"/>
      <c r="Y2" s="19"/>
      <c r="Z2" s="1528" t="s">
        <v>374</v>
      </c>
      <c r="AA2" s="1529"/>
      <c r="AB2" s="1529"/>
      <c r="AF2" s="1528" t="s">
        <v>373</v>
      </c>
      <c r="AG2" s="1529"/>
      <c r="AH2" s="1529"/>
      <c r="AI2" s="89"/>
    </row>
    <row r="3" spans="1:48" ht="32.25" customHeight="1">
      <c r="B3" s="81" t="s">
        <v>94</v>
      </c>
      <c r="D3" s="18"/>
      <c r="E3" s="56"/>
      <c r="F3" s="56"/>
      <c r="G3" s="56"/>
      <c r="I3" s="1524" t="s">
        <v>17</v>
      </c>
      <c r="J3" s="1525"/>
      <c r="K3" s="1526"/>
      <c r="L3" s="1310" t="s">
        <v>91</v>
      </c>
      <c r="M3" s="1310"/>
      <c r="N3" s="251" t="s">
        <v>194</v>
      </c>
      <c r="O3" s="1524" t="s">
        <v>17</v>
      </c>
      <c r="P3" s="1525"/>
      <c r="Q3" s="1526"/>
      <c r="R3" s="25"/>
      <c r="T3" s="655" t="s">
        <v>94</v>
      </c>
      <c r="V3" s="18"/>
      <c r="W3" s="56"/>
      <c r="X3" s="56"/>
      <c r="Y3" s="56"/>
      <c r="Z3" s="19"/>
      <c r="AA3" s="1524" t="s">
        <v>17</v>
      </c>
      <c r="AB3" s="1525"/>
      <c r="AC3" s="1526"/>
      <c r="AD3" s="1310" t="s">
        <v>91</v>
      </c>
      <c r="AE3" s="1310"/>
      <c r="AF3" s="659" t="s">
        <v>194</v>
      </c>
      <c r="AG3" s="1524" t="s">
        <v>17</v>
      </c>
      <c r="AH3" s="1525"/>
      <c r="AI3" s="1526"/>
    </row>
    <row r="4" spans="1:48" s="135" customFormat="1" ht="68.25" customHeight="1">
      <c r="A4" s="572"/>
      <c r="B4" s="385" t="s">
        <v>6</v>
      </c>
      <c r="C4" s="385" t="s">
        <v>256</v>
      </c>
      <c r="D4" s="385" t="s">
        <v>89</v>
      </c>
      <c r="E4" s="385" t="s">
        <v>419</v>
      </c>
      <c r="F4" s="385" t="s">
        <v>48</v>
      </c>
      <c r="G4" s="525"/>
      <c r="H4" s="385"/>
      <c r="I4" s="385" t="s">
        <v>16</v>
      </c>
      <c r="J4" s="384" t="s">
        <v>113</v>
      </c>
      <c r="K4" s="384" t="s">
        <v>114</v>
      </c>
      <c r="L4" s="413" t="s">
        <v>98</v>
      </c>
      <c r="M4" s="413"/>
      <c r="N4" s="385" t="s">
        <v>432</v>
      </c>
      <c r="O4" s="385" t="s">
        <v>16</v>
      </c>
      <c r="P4" s="384" t="s">
        <v>113</v>
      </c>
      <c r="Q4" s="384" t="s">
        <v>114</v>
      </c>
      <c r="T4" s="656" t="s">
        <v>6</v>
      </c>
      <c r="U4" s="656" t="s">
        <v>256</v>
      </c>
      <c r="V4" s="656" t="s">
        <v>89</v>
      </c>
      <c r="W4" s="656" t="s">
        <v>419</v>
      </c>
      <c r="X4" s="656" t="s">
        <v>48</v>
      </c>
      <c r="Y4" s="525"/>
      <c r="Z4" s="656"/>
      <c r="AA4" s="656" t="s">
        <v>16</v>
      </c>
      <c r="AB4" s="655" t="s">
        <v>113</v>
      </c>
      <c r="AC4" s="655" t="s">
        <v>114</v>
      </c>
      <c r="AD4" s="656" t="s">
        <v>98</v>
      </c>
      <c r="AE4" s="656"/>
      <c r="AF4" s="656" t="s">
        <v>432</v>
      </c>
      <c r="AG4" s="656" t="s">
        <v>16</v>
      </c>
      <c r="AH4" s="655" t="s">
        <v>113</v>
      </c>
      <c r="AI4" s="655" t="s">
        <v>114</v>
      </c>
      <c r="AJ4" s="52"/>
      <c r="AK4" s="52"/>
      <c r="AL4" s="52"/>
      <c r="AM4" s="52"/>
      <c r="AN4" s="52"/>
      <c r="AO4" s="52"/>
      <c r="AP4" s="52"/>
      <c r="AQ4" s="52"/>
      <c r="AR4" s="52"/>
      <c r="AS4" s="52"/>
      <c r="AT4" s="52"/>
      <c r="AU4" s="52"/>
      <c r="AV4" s="52"/>
    </row>
    <row r="5" spans="1:48" ht="15" customHeight="1">
      <c r="B5" s="6" t="s">
        <v>163</v>
      </c>
      <c r="C5" s="240">
        <v>0</v>
      </c>
      <c r="D5" s="253">
        <v>0</v>
      </c>
      <c r="E5" s="55">
        <v>0</v>
      </c>
      <c r="F5" s="55">
        <v>0</v>
      </c>
      <c r="G5" s="256"/>
      <c r="H5" s="55"/>
      <c r="I5" s="55">
        <v>0</v>
      </c>
      <c r="J5" s="55">
        <v>0</v>
      </c>
      <c r="K5" s="55">
        <v>0</v>
      </c>
      <c r="L5" s="44">
        <v>0</v>
      </c>
      <c r="M5" s="44"/>
      <c r="N5" s="83">
        <v>0</v>
      </c>
      <c r="O5" s="387">
        <v>0</v>
      </c>
      <c r="P5" s="387">
        <v>0</v>
      </c>
      <c r="Q5" s="387">
        <v>0</v>
      </c>
      <c r="T5" s="300" t="s">
        <v>163</v>
      </c>
      <c r="U5" s="658">
        <v>0</v>
      </c>
      <c r="V5" s="658">
        <v>0</v>
      </c>
      <c r="W5" s="55">
        <v>0</v>
      </c>
      <c r="X5" s="55">
        <v>0</v>
      </c>
      <c r="Y5" s="256"/>
      <c r="Z5" s="55"/>
      <c r="AA5" s="55">
        <v>0</v>
      </c>
      <c r="AB5" s="55">
        <v>0</v>
      </c>
      <c r="AC5" s="55">
        <v>0</v>
      </c>
      <c r="AD5" s="44">
        <v>0</v>
      </c>
      <c r="AE5" s="44"/>
      <c r="AF5" s="657">
        <v>0</v>
      </c>
      <c r="AG5" s="657">
        <v>0</v>
      </c>
      <c r="AH5" s="657">
        <v>0</v>
      </c>
      <c r="AI5" s="657">
        <v>0</v>
      </c>
    </row>
    <row r="6" spans="1:48" ht="15" customHeight="1">
      <c r="A6" s="572" t="s">
        <v>111</v>
      </c>
      <c r="B6" s="238" t="s">
        <v>557</v>
      </c>
      <c r="C6" s="240">
        <v>5.7</v>
      </c>
      <c r="D6" s="253">
        <v>0.8</v>
      </c>
      <c r="E6" s="240" t="s">
        <v>11</v>
      </c>
      <c r="F6" s="55">
        <v>86</v>
      </c>
      <c r="G6" s="256"/>
      <c r="H6" s="55"/>
      <c r="I6" s="55">
        <v>1.81</v>
      </c>
      <c r="J6" s="56">
        <v>0.8</v>
      </c>
      <c r="K6" s="56">
        <v>0.6</v>
      </c>
      <c r="L6" s="44">
        <v>0</v>
      </c>
      <c r="M6" s="44"/>
      <c r="N6" s="76"/>
      <c r="O6" s="387">
        <v>0.49999999999999989</v>
      </c>
      <c r="P6" s="387">
        <v>0.3</v>
      </c>
      <c r="Q6" s="387">
        <v>1.4000000000000001</v>
      </c>
      <c r="S6" s="5" t="s">
        <v>111</v>
      </c>
      <c r="T6" s="300" t="s">
        <v>557</v>
      </c>
      <c r="U6" s="658">
        <v>5.7</v>
      </c>
      <c r="V6" s="658">
        <v>0.8</v>
      </c>
      <c r="W6" s="658" t="s">
        <v>11</v>
      </c>
      <c r="X6" s="55">
        <v>86</v>
      </c>
      <c r="Y6" s="256"/>
      <c r="Z6" s="55"/>
      <c r="AA6" s="55">
        <v>1.81</v>
      </c>
      <c r="AB6" s="56">
        <v>0.8</v>
      </c>
      <c r="AC6" s="56">
        <v>0.6</v>
      </c>
      <c r="AD6" s="44">
        <v>0</v>
      </c>
      <c r="AE6" s="44"/>
      <c r="AF6" s="657"/>
      <c r="AG6" s="657">
        <v>0.49999999999999989</v>
      </c>
      <c r="AH6" s="657">
        <v>0.3</v>
      </c>
      <c r="AI6" s="657">
        <v>1.4000000000000001</v>
      </c>
    </row>
    <row r="7" spans="1:48" ht="15" customHeight="1">
      <c r="B7" s="238" t="s">
        <v>560</v>
      </c>
      <c r="C7" s="240">
        <v>6.25</v>
      </c>
      <c r="D7" s="253">
        <v>0.7</v>
      </c>
      <c r="E7" s="240" t="s">
        <v>11</v>
      </c>
      <c r="F7" s="55">
        <v>86</v>
      </c>
      <c r="G7" s="256"/>
      <c r="H7" s="55"/>
      <c r="I7" s="55">
        <v>1.65</v>
      </c>
      <c r="J7" s="56">
        <v>0.8</v>
      </c>
      <c r="K7" s="56">
        <v>0.6</v>
      </c>
      <c r="L7" s="44">
        <v>0</v>
      </c>
      <c r="M7" s="44"/>
      <c r="N7" s="76"/>
      <c r="O7" s="387">
        <v>0.50000000000000011</v>
      </c>
      <c r="P7" s="387">
        <v>0.3</v>
      </c>
      <c r="Q7" s="387">
        <v>1.7</v>
      </c>
      <c r="T7" s="300" t="s">
        <v>560</v>
      </c>
      <c r="U7" s="658">
        <v>6.25</v>
      </c>
      <c r="V7" s="658">
        <v>0.7</v>
      </c>
      <c r="W7" s="658" t="s">
        <v>11</v>
      </c>
      <c r="X7" s="55">
        <v>86</v>
      </c>
      <c r="Y7" s="256"/>
      <c r="Z7" s="55"/>
      <c r="AA7" s="55">
        <v>1.65</v>
      </c>
      <c r="AB7" s="56">
        <v>0.8</v>
      </c>
      <c r="AC7" s="56">
        <v>0.6</v>
      </c>
      <c r="AD7" s="44">
        <v>0</v>
      </c>
      <c r="AE7" s="44"/>
      <c r="AF7" s="657"/>
      <c r="AG7" s="657">
        <v>0.50000000000000011</v>
      </c>
      <c r="AH7" s="657">
        <v>0.3</v>
      </c>
      <c r="AI7" s="657">
        <v>1.7</v>
      </c>
    </row>
    <row r="8" spans="1:48" ht="15" customHeight="1">
      <c r="A8" s="572" t="s">
        <v>246</v>
      </c>
      <c r="B8" s="238" t="s">
        <v>558</v>
      </c>
      <c r="C8" s="240">
        <v>6.25</v>
      </c>
      <c r="D8" s="253">
        <v>0.9</v>
      </c>
      <c r="E8" s="240" t="s">
        <v>11</v>
      </c>
      <c r="F8" s="55">
        <v>86</v>
      </c>
      <c r="G8" s="256"/>
      <c r="H8" s="55"/>
      <c r="I8" s="55">
        <v>1.51</v>
      </c>
      <c r="J8" s="56">
        <v>0.8</v>
      </c>
      <c r="K8" s="56">
        <v>0.6</v>
      </c>
      <c r="L8" s="44">
        <v>0</v>
      </c>
      <c r="M8" s="44"/>
      <c r="N8" s="76"/>
      <c r="O8" s="387">
        <v>0.49999999999999994</v>
      </c>
      <c r="P8" s="387">
        <v>0.3</v>
      </c>
      <c r="Q8" s="387">
        <v>1.9999999999999998</v>
      </c>
      <c r="S8" s="5" t="s">
        <v>246</v>
      </c>
      <c r="T8" s="300" t="s">
        <v>558</v>
      </c>
      <c r="U8" s="658">
        <v>6.25</v>
      </c>
      <c r="V8" s="658">
        <v>0.9</v>
      </c>
      <c r="W8" s="658" t="s">
        <v>11</v>
      </c>
      <c r="X8" s="55">
        <v>86</v>
      </c>
      <c r="Y8" s="256"/>
      <c r="Z8" s="55"/>
      <c r="AA8" s="55">
        <v>1.51</v>
      </c>
      <c r="AB8" s="56">
        <v>0.8</v>
      </c>
      <c r="AC8" s="56">
        <v>0.6</v>
      </c>
      <c r="AD8" s="44">
        <v>0</v>
      </c>
      <c r="AE8" s="44"/>
      <c r="AF8" s="657"/>
      <c r="AG8" s="657">
        <v>0.49999999999999994</v>
      </c>
      <c r="AH8" s="657">
        <v>0.3</v>
      </c>
      <c r="AI8" s="657">
        <v>1.9999999999999998</v>
      </c>
    </row>
    <row r="9" spans="1:48" ht="15" customHeight="1">
      <c r="B9" s="238" t="s">
        <v>559</v>
      </c>
      <c r="C9" s="240">
        <v>6.25</v>
      </c>
      <c r="D9" s="253">
        <v>0.9</v>
      </c>
      <c r="E9" s="240" t="s">
        <v>11</v>
      </c>
      <c r="F9" s="55">
        <v>86</v>
      </c>
      <c r="G9" s="256"/>
      <c r="H9" s="55"/>
      <c r="I9" s="55">
        <v>1.65</v>
      </c>
      <c r="J9" s="56">
        <v>0.8</v>
      </c>
      <c r="K9" s="56">
        <v>0.6</v>
      </c>
      <c r="L9" s="44">
        <v>0</v>
      </c>
      <c r="M9" s="44"/>
      <c r="N9" s="76"/>
      <c r="O9" s="387">
        <v>0.50000000000000022</v>
      </c>
      <c r="P9" s="387">
        <v>0.3</v>
      </c>
      <c r="Q9" s="387">
        <v>1.6999999999999997</v>
      </c>
      <c r="T9" s="300" t="s">
        <v>559</v>
      </c>
      <c r="U9" s="658">
        <v>6.25</v>
      </c>
      <c r="V9" s="658">
        <v>0.9</v>
      </c>
      <c r="W9" s="658" t="s">
        <v>11</v>
      </c>
      <c r="X9" s="55">
        <v>86</v>
      </c>
      <c r="Y9" s="256"/>
      <c r="Z9" s="55"/>
      <c r="AA9" s="55">
        <v>1.65</v>
      </c>
      <c r="AB9" s="56">
        <v>0.8</v>
      </c>
      <c r="AC9" s="56">
        <v>0.6</v>
      </c>
      <c r="AD9" s="44">
        <v>0</v>
      </c>
      <c r="AE9" s="44"/>
      <c r="AF9" s="657"/>
      <c r="AG9" s="657">
        <v>0.50000000000000022</v>
      </c>
      <c r="AH9" s="657">
        <v>0.3</v>
      </c>
      <c r="AI9" s="657">
        <v>1.6999999999999997</v>
      </c>
    </row>
    <row r="10" spans="1:48" ht="15" customHeight="1">
      <c r="B10" s="238" t="s">
        <v>561</v>
      </c>
      <c r="C10" s="240">
        <v>6.25</v>
      </c>
      <c r="D10" s="253">
        <v>0.8</v>
      </c>
      <c r="E10" s="240" t="s">
        <v>11</v>
      </c>
      <c r="F10" s="55">
        <v>86</v>
      </c>
      <c r="G10" s="256"/>
      <c r="H10" s="55"/>
      <c r="I10" s="55">
        <v>1.65</v>
      </c>
      <c r="J10" s="56">
        <v>0.8</v>
      </c>
      <c r="K10" s="56">
        <v>0.6</v>
      </c>
      <c r="L10" s="44">
        <v>0</v>
      </c>
      <c r="M10" s="44"/>
      <c r="N10" s="76"/>
      <c r="O10" s="387">
        <v>0.49999999999999989</v>
      </c>
      <c r="P10" s="387">
        <v>0.3</v>
      </c>
      <c r="Q10" s="387">
        <v>1.6999999999999997</v>
      </c>
      <c r="T10" s="300" t="s">
        <v>561</v>
      </c>
      <c r="U10" s="658">
        <v>6.25</v>
      </c>
      <c r="V10" s="658">
        <v>0.8</v>
      </c>
      <c r="W10" s="658" t="s">
        <v>11</v>
      </c>
      <c r="X10" s="55">
        <v>86</v>
      </c>
      <c r="Y10" s="256"/>
      <c r="Z10" s="55"/>
      <c r="AA10" s="55">
        <v>1.65</v>
      </c>
      <c r="AB10" s="56">
        <v>0.8</v>
      </c>
      <c r="AC10" s="56">
        <v>0.6</v>
      </c>
      <c r="AD10" s="44">
        <v>0</v>
      </c>
      <c r="AE10" s="44"/>
      <c r="AF10" s="657"/>
      <c r="AG10" s="657">
        <v>0.49999999999999989</v>
      </c>
      <c r="AH10" s="657">
        <v>0.3</v>
      </c>
      <c r="AI10" s="657">
        <v>1.6999999999999997</v>
      </c>
    </row>
    <row r="11" spans="1:48" ht="15" customHeight="1">
      <c r="B11" s="238" t="s">
        <v>562</v>
      </c>
      <c r="C11" s="240">
        <v>6.25</v>
      </c>
      <c r="D11" s="253">
        <v>0.7</v>
      </c>
      <c r="E11" s="240" t="s">
        <v>11</v>
      </c>
      <c r="F11" s="55">
        <v>86</v>
      </c>
      <c r="G11" s="256"/>
      <c r="H11" s="55"/>
      <c r="I11" s="55">
        <v>1.38</v>
      </c>
      <c r="J11" s="56">
        <v>0.8</v>
      </c>
      <c r="K11" s="56">
        <v>0.6</v>
      </c>
      <c r="L11" s="44">
        <v>0</v>
      </c>
      <c r="M11" s="44"/>
      <c r="N11" s="76"/>
      <c r="O11" s="387">
        <v>0.50000000000000011</v>
      </c>
      <c r="P11" s="387">
        <v>0.3</v>
      </c>
      <c r="Q11" s="387">
        <v>1.7</v>
      </c>
      <c r="T11" s="300" t="s">
        <v>562</v>
      </c>
      <c r="U11" s="658">
        <v>6.25</v>
      </c>
      <c r="V11" s="658">
        <v>0.7</v>
      </c>
      <c r="W11" s="658" t="s">
        <v>11</v>
      </c>
      <c r="X11" s="55">
        <v>86</v>
      </c>
      <c r="Y11" s="256"/>
      <c r="Z11" s="55"/>
      <c r="AA11" s="55">
        <v>1.38</v>
      </c>
      <c r="AB11" s="56">
        <v>0.8</v>
      </c>
      <c r="AC11" s="56">
        <v>0.6</v>
      </c>
      <c r="AD11" s="44">
        <v>0</v>
      </c>
      <c r="AE11" s="44"/>
      <c r="AF11" s="657"/>
      <c r="AG11" s="657">
        <v>0.50000000000000011</v>
      </c>
      <c r="AH11" s="657">
        <v>0.3</v>
      </c>
      <c r="AI11" s="657">
        <v>1.7</v>
      </c>
    </row>
    <row r="12" spans="1:48" ht="15" customHeight="1">
      <c r="B12" s="238" t="s">
        <v>563</v>
      </c>
      <c r="C12" s="240">
        <v>6.25</v>
      </c>
      <c r="D12" s="253">
        <v>1.1000000000000001</v>
      </c>
      <c r="E12" s="240" t="s">
        <v>11</v>
      </c>
      <c r="F12" s="55">
        <v>86</v>
      </c>
      <c r="G12" s="256"/>
      <c r="H12" s="55"/>
      <c r="I12" s="55">
        <v>1.51</v>
      </c>
      <c r="J12" s="56">
        <v>0.8</v>
      </c>
      <c r="K12" s="56">
        <v>0.6</v>
      </c>
      <c r="L12" s="44">
        <v>0</v>
      </c>
      <c r="M12" s="44"/>
      <c r="N12" s="76"/>
      <c r="O12" s="387">
        <v>0.5</v>
      </c>
      <c r="P12" s="387">
        <v>0.29999999999999982</v>
      </c>
      <c r="Q12" s="387">
        <v>1.7</v>
      </c>
      <c r="T12" s="300" t="s">
        <v>563</v>
      </c>
      <c r="U12" s="658">
        <v>6.25</v>
      </c>
      <c r="V12" s="658">
        <v>1.1000000000000001</v>
      </c>
      <c r="W12" s="658" t="s">
        <v>11</v>
      </c>
      <c r="X12" s="55">
        <v>86</v>
      </c>
      <c r="Y12" s="256"/>
      <c r="Z12" s="55"/>
      <c r="AA12" s="55">
        <v>1.51</v>
      </c>
      <c r="AB12" s="56">
        <v>0.8</v>
      </c>
      <c r="AC12" s="56">
        <v>0.6</v>
      </c>
      <c r="AD12" s="44">
        <v>0</v>
      </c>
      <c r="AE12" s="44"/>
      <c r="AF12" s="657"/>
      <c r="AG12" s="657">
        <v>0.5</v>
      </c>
      <c r="AH12" s="657">
        <v>0.29999999999999982</v>
      </c>
      <c r="AI12" s="657">
        <v>1.7</v>
      </c>
    </row>
    <row r="13" spans="1:48" ht="15" customHeight="1">
      <c r="B13" s="238" t="s">
        <v>564</v>
      </c>
      <c r="C13" s="240">
        <v>6.25</v>
      </c>
      <c r="D13" s="253">
        <v>1</v>
      </c>
      <c r="E13" s="240" t="s">
        <v>11</v>
      </c>
      <c r="F13" s="55">
        <v>86</v>
      </c>
      <c r="G13" s="256"/>
      <c r="H13" s="55"/>
      <c r="I13" s="55">
        <v>1.38</v>
      </c>
      <c r="J13" s="56">
        <v>0.8</v>
      </c>
      <c r="K13" s="56">
        <v>0.5</v>
      </c>
      <c r="L13" s="44">
        <v>0</v>
      </c>
      <c r="M13" s="44"/>
      <c r="N13" s="76"/>
      <c r="O13" s="387">
        <v>0.89999999999999991</v>
      </c>
      <c r="P13" s="387">
        <v>0.19999999999999996</v>
      </c>
      <c r="Q13" s="387">
        <v>2</v>
      </c>
      <c r="T13" s="300" t="s">
        <v>564</v>
      </c>
      <c r="U13" s="658">
        <v>6.25</v>
      </c>
      <c r="V13" s="658">
        <v>1</v>
      </c>
      <c r="W13" s="658" t="s">
        <v>11</v>
      </c>
      <c r="X13" s="55">
        <v>86</v>
      </c>
      <c r="Y13" s="256"/>
      <c r="Z13" s="55"/>
      <c r="AA13" s="55">
        <v>1.38</v>
      </c>
      <c r="AB13" s="56">
        <v>0.8</v>
      </c>
      <c r="AC13" s="56">
        <v>0.5</v>
      </c>
      <c r="AD13" s="44">
        <v>0</v>
      </c>
      <c r="AE13" s="44"/>
      <c r="AF13" s="657"/>
      <c r="AG13" s="657">
        <v>0.89999999999999991</v>
      </c>
      <c r="AH13" s="657">
        <v>0.19999999999999996</v>
      </c>
      <c r="AI13" s="657">
        <v>2</v>
      </c>
    </row>
    <row r="14" spans="1:48" ht="15" customHeight="1">
      <c r="B14" s="252" t="s">
        <v>565</v>
      </c>
      <c r="C14" s="249">
        <v>5.7</v>
      </c>
      <c r="D14" s="253">
        <v>0.8</v>
      </c>
      <c r="E14" s="249" t="s">
        <v>11</v>
      </c>
      <c r="F14" s="55">
        <v>86</v>
      </c>
      <c r="G14" s="256"/>
      <c r="H14" s="55"/>
      <c r="I14" s="55">
        <v>1.6</v>
      </c>
      <c r="J14" s="56">
        <v>0.8</v>
      </c>
      <c r="K14" s="56">
        <v>0.8</v>
      </c>
      <c r="L14" s="44">
        <v>0</v>
      </c>
      <c r="M14" s="44"/>
      <c r="N14" s="250"/>
      <c r="O14" s="387">
        <v>0.49999999999999989</v>
      </c>
      <c r="P14" s="387">
        <v>0.3</v>
      </c>
      <c r="Q14" s="387">
        <v>1.3999999999999997</v>
      </c>
      <c r="T14" s="300" t="s">
        <v>565</v>
      </c>
      <c r="U14" s="658">
        <v>5.7</v>
      </c>
      <c r="V14" s="658">
        <v>0.8</v>
      </c>
      <c r="W14" s="658" t="s">
        <v>11</v>
      </c>
      <c r="X14" s="55">
        <v>86</v>
      </c>
      <c r="Y14" s="256"/>
      <c r="Z14" s="55"/>
      <c r="AA14" s="55">
        <v>1.6</v>
      </c>
      <c r="AB14" s="56">
        <v>0.8</v>
      </c>
      <c r="AC14" s="56">
        <v>0.8</v>
      </c>
      <c r="AD14" s="44">
        <v>0</v>
      </c>
      <c r="AE14" s="44"/>
      <c r="AF14" s="657"/>
      <c r="AG14" s="657">
        <v>0.49999999999999989</v>
      </c>
      <c r="AH14" s="657">
        <v>0.3</v>
      </c>
      <c r="AI14" s="657">
        <v>1.3999999999999997</v>
      </c>
    </row>
    <row r="15" spans="1:48" ht="15" customHeight="1">
      <c r="B15" s="252" t="s">
        <v>566</v>
      </c>
      <c r="C15" s="249">
        <v>5.7</v>
      </c>
      <c r="D15" s="253">
        <v>0.8</v>
      </c>
      <c r="E15" s="249" t="s">
        <v>11</v>
      </c>
      <c r="F15" s="55">
        <v>86</v>
      </c>
      <c r="G15" s="256"/>
      <c r="H15" s="55"/>
      <c r="I15" s="55">
        <v>1.81</v>
      </c>
      <c r="J15" s="56">
        <v>0.8</v>
      </c>
      <c r="K15" s="56">
        <v>0.6</v>
      </c>
      <c r="L15" s="44">
        <v>0</v>
      </c>
      <c r="M15" s="44"/>
      <c r="N15" s="250"/>
      <c r="O15" s="387">
        <v>0.49999999999999989</v>
      </c>
      <c r="P15" s="387">
        <v>0.3</v>
      </c>
      <c r="Q15" s="387">
        <v>1.4000000000000001</v>
      </c>
      <c r="T15" s="300" t="s">
        <v>566</v>
      </c>
      <c r="U15" s="658">
        <v>5.7</v>
      </c>
      <c r="V15" s="658">
        <v>0.8</v>
      </c>
      <c r="W15" s="658" t="s">
        <v>11</v>
      </c>
      <c r="X15" s="55">
        <v>86</v>
      </c>
      <c r="Y15" s="256"/>
      <c r="Z15" s="55"/>
      <c r="AA15" s="55">
        <v>1.81</v>
      </c>
      <c r="AB15" s="56">
        <v>0.8</v>
      </c>
      <c r="AC15" s="56">
        <v>0.6</v>
      </c>
      <c r="AD15" s="44">
        <v>0</v>
      </c>
      <c r="AE15" s="44"/>
      <c r="AF15" s="657"/>
      <c r="AG15" s="657">
        <v>0.49999999999999989</v>
      </c>
      <c r="AH15" s="657">
        <v>0.3</v>
      </c>
      <c r="AI15" s="657">
        <v>1.4000000000000001</v>
      </c>
    </row>
    <row r="16" spans="1:48" ht="15" customHeight="1">
      <c r="B16" s="252" t="s">
        <v>567</v>
      </c>
      <c r="C16" s="249">
        <v>5.7</v>
      </c>
      <c r="D16" s="253">
        <v>1</v>
      </c>
      <c r="E16" s="249" t="s">
        <v>11</v>
      </c>
      <c r="F16" s="55">
        <v>86</v>
      </c>
      <c r="G16" s="256"/>
      <c r="H16" s="55"/>
      <c r="I16" s="55">
        <v>1.81</v>
      </c>
      <c r="J16" s="56">
        <v>0.8</v>
      </c>
      <c r="K16" s="56">
        <v>0.6</v>
      </c>
      <c r="L16" s="44">
        <v>0</v>
      </c>
      <c r="M16" s="44"/>
      <c r="N16" s="250"/>
      <c r="O16" s="387">
        <v>0.39999999999999991</v>
      </c>
      <c r="P16" s="387">
        <v>0.24</v>
      </c>
      <c r="Q16" s="387">
        <v>1.1200000000000001</v>
      </c>
      <c r="T16" s="300" t="s">
        <v>567</v>
      </c>
      <c r="U16" s="658">
        <v>5.7</v>
      </c>
      <c r="V16" s="658">
        <v>1</v>
      </c>
      <c r="W16" s="658" t="s">
        <v>11</v>
      </c>
      <c r="X16" s="55">
        <v>86</v>
      </c>
      <c r="Y16" s="256"/>
      <c r="Z16" s="55"/>
      <c r="AA16" s="55">
        <v>1.81</v>
      </c>
      <c r="AB16" s="56">
        <v>0.8</v>
      </c>
      <c r="AC16" s="56">
        <v>0.6</v>
      </c>
      <c r="AD16" s="44">
        <v>0</v>
      </c>
      <c r="AE16" s="44"/>
      <c r="AF16" s="657"/>
      <c r="AG16" s="657">
        <v>0.39999999999999991</v>
      </c>
      <c r="AH16" s="657">
        <v>0.24</v>
      </c>
      <c r="AI16" s="657">
        <v>1.1200000000000001</v>
      </c>
    </row>
    <row r="17" spans="1:35" ht="15" customHeight="1">
      <c r="B17" s="252" t="s">
        <v>983</v>
      </c>
      <c r="C17" s="249">
        <v>6.25</v>
      </c>
      <c r="D17" s="253">
        <f>(D12+D10)/2</f>
        <v>0.95000000000000007</v>
      </c>
      <c r="E17" s="249" t="s">
        <v>11</v>
      </c>
      <c r="F17" s="55">
        <v>86</v>
      </c>
      <c r="G17" s="256"/>
      <c r="H17" s="55"/>
      <c r="I17" s="55">
        <v>1.6</v>
      </c>
      <c r="J17" s="56">
        <v>0.8</v>
      </c>
      <c r="K17" s="56">
        <v>0.6</v>
      </c>
      <c r="L17" s="44">
        <v>0</v>
      </c>
      <c r="M17" s="44"/>
      <c r="N17" s="250"/>
      <c r="O17" s="387">
        <f>(O15+O10)/2</f>
        <v>0.49999999999999989</v>
      </c>
      <c r="P17" s="387">
        <f t="shared" ref="P17:Q17" si="0">(P15+P10)/2</f>
        <v>0.3</v>
      </c>
      <c r="Q17" s="387">
        <f t="shared" si="0"/>
        <v>1.5499999999999998</v>
      </c>
      <c r="T17" s="300" t="s">
        <v>983</v>
      </c>
      <c r="U17" s="658">
        <v>6.25</v>
      </c>
      <c r="V17" s="658">
        <f>(V12+V10)/2</f>
        <v>0.95000000000000007</v>
      </c>
      <c r="W17" s="658" t="s">
        <v>11</v>
      </c>
      <c r="X17" s="55">
        <v>86</v>
      </c>
      <c r="Y17" s="256"/>
      <c r="Z17" s="55"/>
      <c r="AA17" s="55">
        <v>1.6</v>
      </c>
      <c r="AB17" s="56">
        <v>0.8</v>
      </c>
      <c r="AC17" s="56">
        <v>0.6</v>
      </c>
      <c r="AD17" s="44">
        <v>0</v>
      </c>
      <c r="AE17" s="44"/>
      <c r="AF17" s="657"/>
      <c r="AG17" s="657">
        <f>(AG15+AG10)/2</f>
        <v>0.49999999999999989</v>
      </c>
      <c r="AH17" s="657">
        <f t="shared" ref="AH17:AI17" si="1">(AH15+AH10)/2</f>
        <v>0.3</v>
      </c>
      <c r="AI17" s="657">
        <f t="shared" si="1"/>
        <v>1.5499999999999998</v>
      </c>
    </row>
    <row r="18" spans="1:35" s="679" customFormat="1" ht="15" customHeight="1">
      <c r="A18" s="674"/>
      <c r="B18" s="675" t="s">
        <v>989</v>
      </c>
      <c r="C18" s="256" t="s">
        <v>991</v>
      </c>
      <c r="D18" s="256">
        <v>1</v>
      </c>
      <c r="E18" s="256" t="s">
        <v>11</v>
      </c>
      <c r="F18" s="256">
        <v>86</v>
      </c>
      <c r="G18" s="256"/>
      <c r="H18" s="256"/>
      <c r="I18" s="676">
        <v>2.1</v>
      </c>
      <c r="J18" s="677">
        <v>0.875</v>
      </c>
      <c r="K18" s="677">
        <v>0.8</v>
      </c>
      <c r="L18" s="678">
        <v>1.1000000000000001</v>
      </c>
      <c r="M18" s="678"/>
      <c r="N18" s="677"/>
      <c r="O18" s="677">
        <v>0.75</v>
      </c>
      <c r="P18" s="677">
        <v>0.3</v>
      </c>
      <c r="Q18" s="677">
        <v>1.925</v>
      </c>
      <c r="T18" s="675" t="s">
        <v>989</v>
      </c>
      <c r="U18" s="256" t="s">
        <v>991</v>
      </c>
      <c r="V18" s="256">
        <v>1</v>
      </c>
      <c r="W18" s="256" t="s">
        <v>11</v>
      </c>
      <c r="X18" s="256">
        <v>86</v>
      </c>
      <c r="Y18" s="256"/>
      <c r="Z18" s="256"/>
      <c r="AA18" s="676">
        <v>2.1</v>
      </c>
      <c r="AB18" s="677">
        <v>0.875</v>
      </c>
      <c r="AC18" s="677">
        <v>0.8</v>
      </c>
      <c r="AD18" s="678">
        <v>1.1000000000000001</v>
      </c>
      <c r="AE18" s="678"/>
      <c r="AF18" s="677"/>
      <c r="AG18" s="677">
        <v>0.75</v>
      </c>
      <c r="AH18" s="677">
        <v>0.3</v>
      </c>
      <c r="AI18" s="677">
        <v>1.925</v>
      </c>
    </row>
    <row r="19" spans="1:35" s="679" customFormat="1" ht="15" customHeight="1">
      <c r="A19" s="674"/>
      <c r="B19" s="675" t="s">
        <v>990</v>
      </c>
      <c r="C19" s="256" t="s">
        <v>991</v>
      </c>
      <c r="D19" s="256">
        <v>1</v>
      </c>
      <c r="E19" s="256" t="s">
        <v>11</v>
      </c>
      <c r="F19" s="256">
        <v>86</v>
      </c>
      <c r="G19" s="256"/>
      <c r="H19" s="256"/>
      <c r="I19" s="676">
        <v>2.2999999999999998</v>
      </c>
      <c r="J19" s="677">
        <v>0.9</v>
      </c>
      <c r="K19" s="677">
        <v>0.86660000000000004</v>
      </c>
      <c r="L19" s="678">
        <v>1.46</v>
      </c>
      <c r="M19" s="678"/>
      <c r="N19" s="677"/>
      <c r="O19" s="677">
        <v>0.83330000000000004</v>
      </c>
      <c r="P19" s="677">
        <v>0.3</v>
      </c>
      <c r="Q19" s="677">
        <v>2</v>
      </c>
      <c r="T19" s="675" t="s">
        <v>990</v>
      </c>
      <c r="U19" s="256" t="s">
        <v>991</v>
      </c>
      <c r="V19" s="256">
        <v>1</v>
      </c>
      <c r="W19" s="256" t="s">
        <v>11</v>
      </c>
      <c r="X19" s="256">
        <v>86</v>
      </c>
      <c r="Y19" s="256"/>
      <c r="Z19" s="256"/>
      <c r="AA19" s="676">
        <v>2.2999999999999998</v>
      </c>
      <c r="AB19" s="677">
        <v>0.9</v>
      </c>
      <c r="AC19" s="677">
        <v>0.86660000000000004</v>
      </c>
      <c r="AD19" s="678">
        <v>1.46</v>
      </c>
      <c r="AE19" s="678"/>
      <c r="AF19" s="677"/>
      <c r="AG19" s="677">
        <v>0.83330000000000004</v>
      </c>
      <c r="AH19" s="677">
        <v>0.3</v>
      </c>
      <c r="AI19" s="677">
        <v>2</v>
      </c>
    </row>
    <row r="20" spans="1:35" ht="15" customHeight="1">
      <c r="A20" s="572" t="s">
        <v>281</v>
      </c>
      <c r="B20" s="243" t="s">
        <v>1038</v>
      </c>
      <c r="C20" s="249">
        <v>6.25</v>
      </c>
      <c r="D20" s="253">
        <v>1</v>
      </c>
      <c r="E20" s="240" t="s">
        <v>11</v>
      </c>
      <c r="F20" s="55">
        <v>86</v>
      </c>
      <c r="G20" s="256"/>
      <c r="H20" s="55"/>
      <c r="I20" s="55">
        <v>4.0999999999999996</v>
      </c>
      <c r="J20" s="56">
        <v>1.2</v>
      </c>
      <c r="K20" s="56">
        <v>1.4</v>
      </c>
      <c r="L20" s="45">
        <v>5</v>
      </c>
      <c r="M20" s="75"/>
      <c r="N20" s="76"/>
      <c r="O20" s="387">
        <v>1.5</v>
      </c>
      <c r="P20" s="387">
        <v>0.30000000000000004</v>
      </c>
      <c r="Q20" s="387">
        <v>2.6</v>
      </c>
      <c r="S20" s="5" t="s">
        <v>281</v>
      </c>
      <c r="T20" s="300" t="s">
        <v>980</v>
      </c>
      <c r="U20" s="658">
        <v>6.25</v>
      </c>
      <c r="V20" s="658">
        <v>1</v>
      </c>
      <c r="W20" s="658" t="s">
        <v>11</v>
      </c>
      <c r="X20" s="55">
        <v>86</v>
      </c>
      <c r="Y20" s="256"/>
      <c r="Z20" s="55"/>
      <c r="AA20" s="55">
        <v>4.0999999999999996</v>
      </c>
      <c r="AB20" s="56">
        <v>1.2</v>
      </c>
      <c r="AC20" s="56">
        <v>1.4</v>
      </c>
      <c r="AD20" s="45">
        <v>5</v>
      </c>
      <c r="AE20" s="657"/>
      <c r="AF20" s="657"/>
      <c r="AG20" s="657">
        <v>1.5</v>
      </c>
      <c r="AH20" s="657">
        <v>0.30000000000000004</v>
      </c>
      <c r="AI20" s="657">
        <v>2.6</v>
      </c>
    </row>
    <row r="21" spans="1:35" ht="15" customHeight="1">
      <c r="B21" s="243" t="s">
        <v>1039</v>
      </c>
      <c r="C21" s="249">
        <v>6.25</v>
      </c>
      <c r="D21" s="253">
        <v>1</v>
      </c>
      <c r="E21" s="240" t="s">
        <v>11</v>
      </c>
      <c r="F21" s="55">
        <v>86</v>
      </c>
      <c r="G21" s="256"/>
      <c r="H21" s="55"/>
      <c r="I21" s="673">
        <v>3.6</v>
      </c>
      <c r="J21" s="62">
        <v>1.1000000000000001</v>
      </c>
      <c r="K21" s="62">
        <v>1.4</v>
      </c>
      <c r="L21" s="45">
        <v>4.4000000000000004</v>
      </c>
      <c r="M21" s="75"/>
      <c r="N21" s="76"/>
      <c r="O21" s="387">
        <v>1.4999999999999996</v>
      </c>
      <c r="P21" s="387">
        <v>0.29999999999999982</v>
      </c>
      <c r="Q21" s="387">
        <v>2.6</v>
      </c>
      <c r="T21" s="300" t="s">
        <v>588</v>
      </c>
      <c r="U21" s="658">
        <v>6.25</v>
      </c>
      <c r="V21" s="658">
        <v>1</v>
      </c>
      <c r="W21" s="658" t="s">
        <v>11</v>
      </c>
      <c r="X21" s="55">
        <v>86</v>
      </c>
      <c r="Y21" s="256"/>
      <c r="Z21" s="55"/>
      <c r="AA21" s="673">
        <v>3.6</v>
      </c>
      <c r="AB21" s="62">
        <v>1.1000000000000001</v>
      </c>
      <c r="AC21" s="62">
        <v>1.4</v>
      </c>
      <c r="AD21" s="45">
        <v>4.4000000000000004</v>
      </c>
      <c r="AE21" s="657"/>
      <c r="AF21" s="657"/>
      <c r="AG21" s="657">
        <v>1.4999999999999996</v>
      </c>
      <c r="AH21" s="657">
        <v>0.29999999999999982</v>
      </c>
      <c r="AI21" s="657">
        <v>2.6</v>
      </c>
    </row>
    <row r="22" spans="1:35" ht="15" customHeight="1">
      <c r="B22" s="243" t="s">
        <v>1040</v>
      </c>
      <c r="C22" s="249">
        <v>6.25</v>
      </c>
      <c r="D22" s="253">
        <v>1</v>
      </c>
      <c r="E22" s="240" t="s">
        <v>11</v>
      </c>
      <c r="F22" s="55">
        <v>86</v>
      </c>
      <c r="G22" s="256"/>
      <c r="H22" s="55"/>
      <c r="I22" s="55">
        <v>4.4800000000000004</v>
      </c>
      <c r="J22" s="56">
        <v>1.02</v>
      </c>
      <c r="K22" s="56">
        <v>1.66</v>
      </c>
      <c r="L22" s="46">
        <v>5</v>
      </c>
      <c r="M22" s="75"/>
      <c r="N22" s="76"/>
      <c r="O22" s="387">
        <v>1.5</v>
      </c>
      <c r="P22" s="387">
        <v>0.30000000000000004</v>
      </c>
      <c r="Q22" s="387">
        <v>1.6300000000000001</v>
      </c>
      <c r="T22" s="300" t="s">
        <v>586</v>
      </c>
      <c r="U22" s="658">
        <v>6.25</v>
      </c>
      <c r="V22" s="658">
        <v>1</v>
      </c>
      <c r="W22" s="658" t="s">
        <v>11</v>
      </c>
      <c r="X22" s="55">
        <v>86</v>
      </c>
      <c r="Y22" s="256"/>
      <c r="Z22" s="55"/>
      <c r="AA22" s="55">
        <v>4.4800000000000004</v>
      </c>
      <c r="AB22" s="56">
        <v>1.02</v>
      </c>
      <c r="AC22" s="56">
        <v>1.66</v>
      </c>
      <c r="AD22" s="46">
        <v>5</v>
      </c>
      <c r="AE22" s="657"/>
      <c r="AF22" s="657"/>
      <c r="AG22" s="657">
        <v>1.5</v>
      </c>
      <c r="AH22" s="657">
        <v>0.30000000000000004</v>
      </c>
      <c r="AI22" s="657">
        <v>1.6300000000000001</v>
      </c>
    </row>
    <row r="23" spans="1:35" ht="15" customHeight="1">
      <c r="B23" s="243" t="s">
        <v>1041</v>
      </c>
      <c r="C23" s="249">
        <v>6.25</v>
      </c>
      <c r="D23" s="253">
        <v>1</v>
      </c>
      <c r="E23" s="240" t="s">
        <v>11</v>
      </c>
      <c r="F23" s="55">
        <v>86</v>
      </c>
      <c r="G23" s="256"/>
      <c r="H23" s="55"/>
      <c r="I23" s="55">
        <v>4.4000000000000004</v>
      </c>
      <c r="J23" s="56">
        <v>1.5</v>
      </c>
      <c r="K23" s="56">
        <v>1.94</v>
      </c>
      <c r="L23" s="46">
        <v>5.3</v>
      </c>
      <c r="M23" s="75"/>
      <c r="N23" s="76"/>
      <c r="O23" s="387">
        <v>1.5</v>
      </c>
      <c r="P23" s="387">
        <v>0.30000000000000004</v>
      </c>
      <c r="Q23" s="387">
        <v>1.56</v>
      </c>
      <c r="T23" s="300" t="s">
        <v>589</v>
      </c>
      <c r="U23" s="658">
        <v>6.25</v>
      </c>
      <c r="V23" s="658">
        <v>1</v>
      </c>
      <c r="W23" s="658" t="s">
        <v>11</v>
      </c>
      <c r="X23" s="55">
        <v>86</v>
      </c>
      <c r="Y23" s="256"/>
      <c r="Z23" s="55"/>
      <c r="AA23" s="55">
        <v>4.4000000000000004</v>
      </c>
      <c r="AB23" s="56">
        <v>1.5</v>
      </c>
      <c r="AC23" s="56">
        <v>1.94</v>
      </c>
      <c r="AD23" s="46">
        <v>5.3</v>
      </c>
      <c r="AE23" s="657"/>
      <c r="AF23" s="657"/>
      <c r="AG23" s="657">
        <v>1.5</v>
      </c>
      <c r="AH23" s="657">
        <v>0.30000000000000004</v>
      </c>
      <c r="AI23" s="657">
        <v>1.56</v>
      </c>
    </row>
    <row r="24" spans="1:35" ht="15" customHeight="1">
      <c r="A24" s="572" t="s">
        <v>285</v>
      </c>
      <c r="B24" s="243" t="s">
        <v>867</v>
      </c>
      <c r="C24" s="249" t="s">
        <v>992</v>
      </c>
      <c r="D24" s="253">
        <v>1.7</v>
      </c>
      <c r="E24" s="240" t="s">
        <v>11</v>
      </c>
      <c r="F24" s="55">
        <v>91</v>
      </c>
      <c r="G24" s="256"/>
      <c r="H24" s="55"/>
      <c r="I24" s="55">
        <v>3.35</v>
      </c>
      <c r="J24" s="56">
        <v>1.8</v>
      </c>
      <c r="K24" s="56">
        <v>1</v>
      </c>
      <c r="L24" s="75">
        <v>0</v>
      </c>
      <c r="M24" s="75"/>
      <c r="N24" s="76"/>
      <c r="O24" s="387">
        <v>0.7</v>
      </c>
      <c r="P24" s="387">
        <v>0.39999999999999997</v>
      </c>
      <c r="Q24" s="387">
        <v>2.5</v>
      </c>
      <c r="S24" s="5" t="s">
        <v>285</v>
      </c>
      <c r="T24" s="300" t="s">
        <v>867</v>
      </c>
      <c r="U24" s="658" t="s">
        <v>992</v>
      </c>
      <c r="V24" s="658">
        <v>1.7</v>
      </c>
      <c r="W24" s="658" t="s">
        <v>11</v>
      </c>
      <c r="X24" s="55">
        <v>91</v>
      </c>
      <c r="Y24" s="256"/>
      <c r="Z24" s="55"/>
      <c r="AA24" s="55">
        <v>3.35</v>
      </c>
      <c r="AB24" s="56">
        <v>1.8</v>
      </c>
      <c r="AC24" s="56">
        <v>1</v>
      </c>
      <c r="AD24" s="657">
        <v>0</v>
      </c>
      <c r="AE24" s="657"/>
      <c r="AF24" s="657"/>
      <c r="AG24" s="657">
        <v>0.7</v>
      </c>
      <c r="AH24" s="657">
        <v>0.39999999999999997</v>
      </c>
      <c r="AI24" s="657">
        <v>2.5</v>
      </c>
    </row>
    <row r="25" spans="1:35" ht="15" customHeight="1">
      <c r="B25" s="243" t="s">
        <v>587</v>
      </c>
      <c r="C25" s="249" t="s">
        <v>993</v>
      </c>
      <c r="D25" s="253">
        <v>2</v>
      </c>
      <c r="E25" s="240" t="s">
        <v>11</v>
      </c>
      <c r="F25" s="55">
        <v>91</v>
      </c>
      <c r="G25" s="256"/>
      <c r="H25" s="55"/>
      <c r="I25" s="55">
        <v>2.91</v>
      </c>
      <c r="J25" s="56">
        <v>1.6</v>
      </c>
      <c r="K25" s="56">
        <v>2.4</v>
      </c>
      <c r="L25" s="75">
        <v>0</v>
      </c>
      <c r="M25" s="75"/>
      <c r="N25" s="76"/>
      <c r="O25" s="387">
        <v>1</v>
      </c>
      <c r="P25" s="387">
        <v>0.89999999999999991</v>
      </c>
      <c r="Q25" s="387">
        <v>5</v>
      </c>
      <c r="T25" s="300" t="s">
        <v>587</v>
      </c>
      <c r="U25" s="658" t="s">
        <v>993</v>
      </c>
      <c r="V25" s="658">
        <v>2</v>
      </c>
      <c r="W25" s="658" t="s">
        <v>11</v>
      </c>
      <c r="X25" s="55">
        <v>91</v>
      </c>
      <c r="Y25" s="256"/>
      <c r="Z25" s="55"/>
      <c r="AA25" s="55">
        <v>2.91</v>
      </c>
      <c r="AB25" s="56">
        <v>1.6</v>
      </c>
      <c r="AC25" s="56">
        <v>2.4</v>
      </c>
      <c r="AD25" s="657">
        <v>0</v>
      </c>
      <c r="AE25" s="657"/>
      <c r="AF25" s="657"/>
      <c r="AG25" s="657">
        <v>1</v>
      </c>
      <c r="AH25" s="657">
        <v>0.89999999999999991</v>
      </c>
      <c r="AI25" s="657">
        <v>5</v>
      </c>
    </row>
    <row r="26" spans="1:35" ht="15" customHeight="1">
      <c r="B26" s="252" t="s">
        <v>568</v>
      </c>
      <c r="C26" s="249" t="s">
        <v>994</v>
      </c>
      <c r="D26" s="253">
        <v>1.5</v>
      </c>
      <c r="E26" s="249" t="s">
        <v>11</v>
      </c>
      <c r="F26" s="55">
        <v>91</v>
      </c>
      <c r="G26" s="256"/>
      <c r="H26" s="55"/>
      <c r="I26" s="55">
        <v>3.5</v>
      </c>
      <c r="J26" s="56">
        <v>1.2</v>
      </c>
      <c r="K26" s="56">
        <v>1</v>
      </c>
      <c r="L26" s="254">
        <v>0</v>
      </c>
      <c r="M26" s="55"/>
      <c r="N26" s="56"/>
      <c r="O26" s="17">
        <v>0.53333333333333321</v>
      </c>
      <c r="P26" s="17">
        <v>0.20000000000000004</v>
      </c>
      <c r="Q26" s="17">
        <v>1.4000000000000001</v>
      </c>
      <c r="T26" s="300" t="s">
        <v>568</v>
      </c>
      <c r="U26" s="658" t="s">
        <v>994</v>
      </c>
      <c r="V26" s="658">
        <v>1.5</v>
      </c>
      <c r="W26" s="658" t="s">
        <v>11</v>
      </c>
      <c r="X26" s="55">
        <v>91</v>
      </c>
      <c r="Y26" s="256"/>
      <c r="Z26" s="55"/>
      <c r="AA26" s="55">
        <v>3.5</v>
      </c>
      <c r="AB26" s="56">
        <v>1.2</v>
      </c>
      <c r="AC26" s="56">
        <v>1</v>
      </c>
      <c r="AD26" s="657">
        <v>0</v>
      </c>
      <c r="AE26" s="55"/>
      <c r="AF26" s="56"/>
      <c r="AG26" s="17">
        <v>0.53333333333333321</v>
      </c>
      <c r="AH26" s="17">
        <v>0.20000000000000004</v>
      </c>
      <c r="AI26" s="17">
        <v>1.4000000000000001</v>
      </c>
    </row>
    <row r="27" spans="1:35" ht="15" customHeight="1">
      <c r="B27" s="252" t="s">
        <v>569</v>
      </c>
      <c r="C27" s="249" t="s">
        <v>995</v>
      </c>
      <c r="D27" s="253">
        <v>1.5</v>
      </c>
      <c r="E27" s="249" t="s">
        <v>11</v>
      </c>
      <c r="F27" s="55">
        <v>91</v>
      </c>
      <c r="G27" s="256"/>
      <c r="H27" s="55"/>
      <c r="I27" s="55">
        <v>5.08</v>
      </c>
      <c r="J27" s="56">
        <v>1.77</v>
      </c>
      <c r="K27" s="56">
        <v>0.93</v>
      </c>
      <c r="L27" s="254">
        <v>0</v>
      </c>
      <c r="M27" s="55"/>
      <c r="N27" s="56"/>
      <c r="O27" s="17">
        <v>0.69999999999999984</v>
      </c>
      <c r="P27" s="17">
        <v>0.40000000000000008</v>
      </c>
      <c r="Q27" s="17">
        <v>2.5066666666666668</v>
      </c>
      <c r="T27" s="300" t="s">
        <v>569</v>
      </c>
      <c r="U27" s="658" t="s">
        <v>995</v>
      </c>
      <c r="V27" s="658">
        <v>1.5</v>
      </c>
      <c r="W27" s="658" t="s">
        <v>11</v>
      </c>
      <c r="X27" s="55">
        <v>91</v>
      </c>
      <c r="Y27" s="256"/>
      <c r="Z27" s="55"/>
      <c r="AA27" s="55">
        <v>5.08</v>
      </c>
      <c r="AB27" s="56">
        <v>1.77</v>
      </c>
      <c r="AC27" s="56">
        <v>0.93</v>
      </c>
      <c r="AD27" s="657">
        <v>0</v>
      </c>
      <c r="AE27" s="55"/>
      <c r="AF27" s="56"/>
      <c r="AG27" s="17">
        <v>0.69999999999999984</v>
      </c>
      <c r="AH27" s="17">
        <v>0.40000000000000008</v>
      </c>
      <c r="AI27" s="17">
        <v>2.5066666666666668</v>
      </c>
    </row>
    <row r="28" spans="1:35" ht="15" customHeight="1">
      <c r="A28" s="572" t="s">
        <v>282</v>
      </c>
      <c r="B28" s="300" t="s">
        <v>570</v>
      </c>
      <c r="C28" s="249" t="s">
        <v>996</v>
      </c>
      <c r="D28" s="253">
        <v>0.2</v>
      </c>
      <c r="E28" s="55" t="s">
        <v>12</v>
      </c>
      <c r="F28" s="55">
        <v>22</v>
      </c>
      <c r="G28" s="256"/>
      <c r="H28" s="55"/>
      <c r="I28" s="55">
        <v>0.35</v>
      </c>
      <c r="J28" s="56">
        <v>0.14000000000000001</v>
      </c>
      <c r="K28" s="56">
        <v>0.6</v>
      </c>
      <c r="L28" s="75">
        <v>0</v>
      </c>
      <c r="M28" s="75"/>
      <c r="N28" s="76"/>
      <c r="O28" s="17">
        <v>0.20000000000000018</v>
      </c>
      <c r="P28" s="17">
        <v>4.9999999999999906E-2</v>
      </c>
      <c r="Q28" s="17">
        <v>0.35000000000000031</v>
      </c>
      <c r="R28" s="25"/>
      <c r="S28" s="5" t="s">
        <v>282</v>
      </c>
      <c r="T28" s="300" t="s">
        <v>570</v>
      </c>
      <c r="U28" s="658" t="s">
        <v>996</v>
      </c>
      <c r="V28" s="658">
        <v>0.2</v>
      </c>
      <c r="W28" s="55" t="s">
        <v>12</v>
      </c>
      <c r="X28" s="55">
        <v>22</v>
      </c>
      <c r="Y28" s="256"/>
      <c r="Z28" s="55"/>
      <c r="AA28" s="55">
        <v>0.35</v>
      </c>
      <c r="AB28" s="56">
        <v>0.14000000000000001</v>
      </c>
      <c r="AC28" s="56">
        <v>0.6</v>
      </c>
      <c r="AD28" s="657">
        <v>0</v>
      </c>
      <c r="AE28" s="657"/>
      <c r="AF28" s="657"/>
      <c r="AG28" s="17">
        <v>0.20000000000000018</v>
      </c>
      <c r="AH28" s="17">
        <v>4.9999999999999906E-2</v>
      </c>
      <c r="AI28" s="17">
        <v>0.35000000000000031</v>
      </c>
    </row>
    <row r="29" spans="1:35" ht="15" customHeight="1">
      <c r="B29" s="300" t="s">
        <v>571</v>
      </c>
      <c r="C29" s="249" t="s">
        <v>997</v>
      </c>
      <c r="D29" s="253">
        <v>0.7</v>
      </c>
      <c r="E29" s="55" t="s">
        <v>13</v>
      </c>
      <c r="F29" s="55">
        <v>23</v>
      </c>
      <c r="G29" s="256"/>
      <c r="H29" s="55"/>
      <c r="I29" s="55">
        <v>0.18</v>
      </c>
      <c r="J29" s="56">
        <v>0.1</v>
      </c>
      <c r="K29" s="56">
        <v>0.25</v>
      </c>
      <c r="L29" s="75">
        <v>0</v>
      </c>
      <c r="M29" s="75"/>
      <c r="N29" s="76"/>
      <c r="O29" s="17">
        <v>0.40000000000000008</v>
      </c>
      <c r="P29" s="17">
        <v>0.11428571428571428</v>
      </c>
      <c r="Q29" s="17">
        <v>0.60000000000000009</v>
      </c>
      <c r="R29" s="25"/>
      <c r="T29" s="300" t="s">
        <v>571</v>
      </c>
      <c r="U29" s="658" t="s">
        <v>997</v>
      </c>
      <c r="V29" s="658">
        <v>0.7</v>
      </c>
      <c r="W29" s="55" t="s">
        <v>13</v>
      </c>
      <c r="X29" s="55">
        <v>23</v>
      </c>
      <c r="Y29" s="256"/>
      <c r="Z29" s="55"/>
      <c r="AA29" s="55">
        <v>0.18</v>
      </c>
      <c r="AB29" s="56">
        <v>0.1</v>
      </c>
      <c r="AC29" s="56">
        <v>0.25</v>
      </c>
      <c r="AD29" s="657">
        <v>0</v>
      </c>
      <c r="AE29" s="657"/>
      <c r="AF29" s="657"/>
      <c r="AG29" s="17">
        <v>0.40000000000000008</v>
      </c>
      <c r="AH29" s="17">
        <v>0.11428571428571428</v>
      </c>
      <c r="AI29" s="17">
        <v>0.60000000000000009</v>
      </c>
    </row>
    <row r="30" spans="1:35" ht="15" customHeight="1">
      <c r="B30" s="300" t="s">
        <v>572</v>
      </c>
      <c r="C30" s="249" t="s">
        <v>998</v>
      </c>
      <c r="D30" s="253">
        <v>0.4</v>
      </c>
      <c r="E30" s="55" t="s">
        <v>13</v>
      </c>
      <c r="F30" s="55">
        <v>15</v>
      </c>
      <c r="G30" s="256"/>
      <c r="H30" s="55"/>
      <c r="I30" s="55">
        <v>0.18</v>
      </c>
      <c r="J30" s="56">
        <v>0.09</v>
      </c>
      <c r="K30" s="56">
        <v>0.5</v>
      </c>
      <c r="L30" s="75">
        <v>0</v>
      </c>
      <c r="M30" s="75"/>
      <c r="N30" s="76"/>
      <c r="O30" s="387">
        <v>0.3</v>
      </c>
      <c r="P30" s="23">
        <v>7.4999999999999997E-2</v>
      </c>
      <c r="Q30" s="23">
        <v>0.49999999999999989</v>
      </c>
      <c r="T30" s="300" t="s">
        <v>572</v>
      </c>
      <c r="U30" s="658" t="s">
        <v>998</v>
      </c>
      <c r="V30" s="658">
        <v>0.4</v>
      </c>
      <c r="W30" s="55" t="s">
        <v>13</v>
      </c>
      <c r="X30" s="55">
        <v>15</v>
      </c>
      <c r="Y30" s="256"/>
      <c r="Z30" s="55"/>
      <c r="AA30" s="55">
        <v>0.18</v>
      </c>
      <c r="AB30" s="56">
        <v>0.09</v>
      </c>
      <c r="AC30" s="56">
        <v>0.5</v>
      </c>
      <c r="AD30" s="657">
        <v>0</v>
      </c>
      <c r="AE30" s="657"/>
      <c r="AF30" s="657"/>
      <c r="AG30" s="657">
        <v>0.3</v>
      </c>
      <c r="AH30" s="23">
        <v>7.4999999999999997E-2</v>
      </c>
      <c r="AI30" s="23">
        <v>0.49999999999999989</v>
      </c>
    </row>
    <row r="31" spans="1:35" ht="15" customHeight="1">
      <c r="B31" s="300" t="s">
        <v>573</v>
      </c>
      <c r="C31" s="249" t="s">
        <v>999</v>
      </c>
      <c r="D31" s="253">
        <v>0.4</v>
      </c>
      <c r="E31" s="55" t="s">
        <v>13</v>
      </c>
      <c r="F31" s="55">
        <v>12</v>
      </c>
      <c r="G31" s="256"/>
      <c r="H31" s="55"/>
      <c r="I31" s="55">
        <v>0.14000000000000001</v>
      </c>
      <c r="J31" s="56">
        <v>7.0000000000000007E-2</v>
      </c>
      <c r="K31" s="56">
        <v>0.45</v>
      </c>
      <c r="L31" s="75">
        <v>0</v>
      </c>
      <c r="M31" s="75"/>
      <c r="N31" s="76"/>
      <c r="O31" s="387">
        <v>0.24999999999999994</v>
      </c>
      <c r="P31" s="387">
        <v>4.9999999999999975E-2</v>
      </c>
      <c r="Q31" s="23">
        <v>0.39999999999999991</v>
      </c>
      <c r="T31" s="300" t="s">
        <v>573</v>
      </c>
      <c r="U31" s="658" t="s">
        <v>999</v>
      </c>
      <c r="V31" s="658">
        <v>0.4</v>
      </c>
      <c r="W31" s="55" t="s">
        <v>13</v>
      </c>
      <c r="X31" s="55">
        <v>12</v>
      </c>
      <c r="Y31" s="256"/>
      <c r="Z31" s="55"/>
      <c r="AA31" s="55">
        <v>0.14000000000000001</v>
      </c>
      <c r="AB31" s="56">
        <v>7.0000000000000007E-2</v>
      </c>
      <c r="AC31" s="56">
        <v>0.45</v>
      </c>
      <c r="AD31" s="657">
        <v>0</v>
      </c>
      <c r="AE31" s="657"/>
      <c r="AF31" s="657"/>
      <c r="AG31" s="657">
        <v>0.24999999999999994</v>
      </c>
      <c r="AH31" s="657">
        <v>4.9999999999999975E-2</v>
      </c>
      <c r="AI31" s="23">
        <v>0.39999999999999991</v>
      </c>
    </row>
    <row r="32" spans="1:35" s="570" customFormat="1" ht="15" customHeight="1">
      <c r="A32" s="573" t="s">
        <v>283</v>
      </c>
      <c r="B32" s="565" t="s">
        <v>868</v>
      </c>
      <c r="C32" s="566" t="s">
        <v>1001</v>
      </c>
      <c r="D32" s="566">
        <v>0</v>
      </c>
      <c r="E32" s="567" t="s">
        <v>284</v>
      </c>
      <c r="F32" s="567" t="s">
        <v>9</v>
      </c>
      <c r="G32" s="256"/>
      <c r="H32" s="569"/>
      <c r="I32" s="567">
        <v>0.25</v>
      </c>
      <c r="J32" s="567">
        <v>0.1</v>
      </c>
      <c r="K32" s="567">
        <v>0.4</v>
      </c>
      <c r="L32" s="567">
        <v>0</v>
      </c>
      <c r="M32" s="567"/>
      <c r="N32" s="567"/>
      <c r="O32" s="567">
        <v>0</v>
      </c>
      <c r="P32" s="567">
        <v>0</v>
      </c>
      <c r="Q32" s="567">
        <v>0</v>
      </c>
      <c r="S32" s="564" t="s">
        <v>283</v>
      </c>
      <c r="T32" s="565" t="s">
        <v>868</v>
      </c>
      <c r="U32" s="566" t="s">
        <v>1001</v>
      </c>
      <c r="V32" s="566">
        <v>0</v>
      </c>
      <c r="W32" s="567" t="s">
        <v>284</v>
      </c>
      <c r="X32" s="567" t="s">
        <v>9</v>
      </c>
      <c r="Y32" s="256"/>
      <c r="Z32" s="569"/>
      <c r="AA32" s="567">
        <v>0.25</v>
      </c>
      <c r="AB32" s="567">
        <v>0.1</v>
      </c>
      <c r="AC32" s="567">
        <v>0.4</v>
      </c>
      <c r="AD32" s="567">
        <v>0</v>
      </c>
      <c r="AE32" s="567"/>
      <c r="AF32" s="567"/>
      <c r="AG32" s="567">
        <v>0</v>
      </c>
      <c r="AH32" s="567">
        <v>0</v>
      </c>
      <c r="AI32" s="567">
        <v>0</v>
      </c>
    </row>
    <row r="33" spans="1:35" s="570" customFormat="1" ht="15" customHeight="1">
      <c r="A33" s="573"/>
      <c r="B33" s="565" t="s">
        <v>581</v>
      </c>
      <c r="C33" s="566" t="s">
        <v>1000</v>
      </c>
      <c r="D33" s="566">
        <v>0</v>
      </c>
      <c r="E33" s="567" t="s">
        <v>88</v>
      </c>
      <c r="F33" s="567" t="s">
        <v>9</v>
      </c>
      <c r="G33" s="568"/>
      <c r="H33" s="569"/>
      <c r="I33" s="567">
        <v>0.06</v>
      </c>
      <c r="J33" s="567">
        <v>0.04</v>
      </c>
      <c r="K33" s="567">
        <v>0.14000000000000001</v>
      </c>
      <c r="L33" s="567">
        <v>0</v>
      </c>
      <c r="M33" s="567"/>
      <c r="N33" s="567"/>
      <c r="O33" s="567">
        <v>0</v>
      </c>
      <c r="P33" s="567">
        <v>0</v>
      </c>
      <c r="Q33" s="567">
        <v>0</v>
      </c>
      <c r="T33" s="565" t="s">
        <v>581</v>
      </c>
      <c r="U33" s="566" t="s">
        <v>1000</v>
      </c>
      <c r="V33" s="566">
        <v>0</v>
      </c>
      <c r="W33" s="567" t="s">
        <v>88</v>
      </c>
      <c r="X33" s="567" t="s">
        <v>9</v>
      </c>
      <c r="Y33" s="568"/>
      <c r="Z33" s="569"/>
      <c r="AA33" s="567">
        <v>0.06</v>
      </c>
      <c r="AB33" s="567">
        <v>0.04</v>
      </c>
      <c r="AC33" s="567">
        <v>0.14000000000000001</v>
      </c>
      <c r="AD33" s="567">
        <v>0</v>
      </c>
      <c r="AE33" s="567"/>
      <c r="AF33" s="567"/>
      <c r="AG33" s="567">
        <v>0</v>
      </c>
      <c r="AH33" s="567">
        <v>0</v>
      </c>
      <c r="AI33" s="567">
        <v>0</v>
      </c>
    </row>
    <row r="34" spans="1:35" s="570" customFormat="1" ht="15" customHeight="1">
      <c r="A34" s="573"/>
      <c r="B34" s="565" t="s">
        <v>854</v>
      </c>
      <c r="C34" s="566" t="s">
        <v>1002</v>
      </c>
      <c r="D34" s="566">
        <v>0</v>
      </c>
      <c r="E34" s="567" t="s">
        <v>580</v>
      </c>
      <c r="F34" s="567" t="s">
        <v>9</v>
      </c>
      <c r="G34" s="568"/>
      <c r="H34" s="569"/>
      <c r="I34" s="567">
        <v>0.02</v>
      </c>
      <c r="J34" s="567">
        <v>0.02</v>
      </c>
      <c r="K34" s="567">
        <v>7.0000000000000007E-2</v>
      </c>
      <c r="L34" s="567">
        <v>0</v>
      </c>
      <c r="M34" s="567"/>
      <c r="N34" s="567"/>
      <c r="O34" s="567">
        <v>0</v>
      </c>
      <c r="P34" s="567">
        <v>0</v>
      </c>
      <c r="Q34" s="567">
        <v>0</v>
      </c>
      <c r="T34" s="565" t="s">
        <v>854</v>
      </c>
      <c r="U34" s="566" t="s">
        <v>1002</v>
      </c>
      <c r="V34" s="566">
        <v>0</v>
      </c>
      <c r="W34" s="567" t="s">
        <v>580</v>
      </c>
      <c r="X34" s="567" t="s">
        <v>9</v>
      </c>
      <c r="Y34" s="568"/>
      <c r="Z34" s="569"/>
      <c r="AA34" s="567">
        <v>0.02</v>
      </c>
      <c r="AB34" s="567">
        <v>0.02</v>
      </c>
      <c r="AC34" s="567">
        <v>7.0000000000000007E-2</v>
      </c>
      <c r="AD34" s="567">
        <v>0</v>
      </c>
      <c r="AE34" s="567"/>
      <c r="AF34" s="567"/>
      <c r="AG34" s="567">
        <v>0</v>
      </c>
      <c r="AH34" s="567">
        <v>0</v>
      </c>
      <c r="AI34" s="567">
        <v>0</v>
      </c>
    </row>
    <row r="35" spans="1:35" ht="15" customHeight="1">
      <c r="A35" s="572" t="s">
        <v>286</v>
      </c>
      <c r="B35" s="257" t="s">
        <v>850</v>
      </c>
      <c r="C35" s="253" t="s">
        <v>1003</v>
      </c>
      <c r="D35" s="253">
        <v>0</v>
      </c>
      <c r="E35" s="250" t="s">
        <v>287</v>
      </c>
      <c r="F35" s="56">
        <v>90</v>
      </c>
      <c r="G35" s="49"/>
      <c r="H35" s="55"/>
      <c r="I35" s="250">
        <v>3</v>
      </c>
      <c r="J35" s="250">
        <v>1</v>
      </c>
      <c r="K35" s="250">
        <v>2.6</v>
      </c>
      <c r="L35" s="250">
        <v>0</v>
      </c>
      <c r="M35" s="250"/>
      <c r="N35" s="250"/>
      <c r="O35" s="387">
        <v>0</v>
      </c>
      <c r="P35" s="387">
        <v>0</v>
      </c>
      <c r="Q35" s="387">
        <v>0</v>
      </c>
      <c r="S35" s="11" t="s">
        <v>286</v>
      </c>
      <c r="T35" s="257" t="s">
        <v>850</v>
      </c>
      <c r="U35" s="658" t="s">
        <v>1003</v>
      </c>
      <c r="V35" s="658">
        <v>0</v>
      </c>
      <c r="W35" s="657" t="s">
        <v>287</v>
      </c>
      <c r="X35" s="56">
        <v>90</v>
      </c>
      <c r="Y35" s="49"/>
      <c r="Z35" s="55"/>
      <c r="AA35" s="657">
        <v>3</v>
      </c>
      <c r="AB35" s="657">
        <v>1</v>
      </c>
      <c r="AC35" s="657">
        <v>2.6</v>
      </c>
      <c r="AD35" s="657">
        <v>0</v>
      </c>
      <c r="AE35" s="657"/>
      <c r="AF35" s="657"/>
      <c r="AG35" s="657">
        <v>0</v>
      </c>
      <c r="AH35" s="657">
        <v>0</v>
      </c>
      <c r="AI35" s="657">
        <v>0</v>
      </c>
    </row>
    <row r="36" spans="1:35" ht="15" customHeight="1">
      <c r="B36" s="257" t="s">
        <v>852</v>
      </c>
      <c r="C36" s="597" t="s">
        <v>1004</v>
      </c>
      <c r="D36" s="597">
        <v>0</v>
      </c>
      <c r="E36" s="599" t="s">
        <v>851</v>
      </c>
      <c r="F36" s="56">
        <v>27</v>
      </c>
      <c r="G36" s="49"/>
      <c r="H36" s="55"/>
      <c r="I36" s="599">
        <v>0.69</v>
      </c>
      <c r="J36" s="599">
        <v>0.13</v>
      </c>
      <c r="K36" s="599">
        <v>0.59</v>
      </c>
      <c r="L36" s="599">
        <v>0</v>
      </c>
      <c r="M36" s="599"/>
      <c r="N36" s="599"/>
      <c r="O36" s="599">
        <v>0</v>
      </c>
      <c r="P36" s="599">
        <v>0</v>
      </c>
      <c r="Q36" s="599">
        <v>0</v>
      </c>
      <c r="S36" s="11"/>
      <c r="T36" s="257" t="s">
        <v>852</v>
      </c>
      <c r="U36" s="658" t="s">
        <v>1004</v>
      </c>
      <c r="V36" s="658">
        <v>0</v>
      </c>
      <c r="W36" s="657" t="s">
        <v>851</v>
      </c>
      <c r="X36" s="56">
        <v>27</v>
      </c>
      <c r="Y36" s="49"/>
      <c r="Z36" s="55"/>
      <c r="AA36" s="657">
        <v>0.69</v>
      </c>
      <c r="AB36" s="657">
        <v>0.13</v>
      </c>
      <c r="AC36" s="657">
        <v>0.59</v>
      </c>
      <c r="AD36" s="657">
        <v>0</v>
      </c>
      <c r="AE36" s="657"/>
      <c r="AF36" s="657"/>
      <c r="AG36" s="657">
        <v>0</v>
      </c>
      <c r="AH36" s="657">
        <v>0</v>
      </c>
      <c r="AI36" s="657">
        <v>0</v>
      </c>
    </row>
    <row r="37" spans="1:35" ht="15" customHeight="1">
      <c r="B37" s="257" t="s">
        <v>757</v>
      </c>
      <c r="C37" s="253" t="s">
        <v>1005</v>
      </c>
      <c r="D37" s="545">
        <v>0</v>
      </c>
      <c r="E37" s="250" t="s">
        <v>288</v>
      </c>
      <c r="F37" s="56">
        <v>78</v>
      </c>
      <c r="G37" s="49"/>
      <c r="H37" s="55"/>
      <c r="I37" s="250">
        <v>4</v>
      </c>
      <c r="J37" s="250">
        <v>1.3</v>
      </c>
      <c r="K37" s="250">
        <v>6.9</v>
      </c>
      <c r="L37" s="250">
        <v>0</v>
      </c>
      <c r="M37" s="250"/>
      <c r="N37" s="250"/>
      <c r="O37" s="547">
        <v>0</v>
      </c>
      <c r="P37" s="547">
        <v>0</v>
      </c>
      <c r="Q37" s="547">
        <v>0</v>
      </c>
      <c r="S37" s="11"/>
      <c r="T37" s="257" t="s">
        <v>757</v>
      </c>
      <c r="U37" s="658" t="s">
        <v>1005</v>
      </c>
      <c r="V37" s="658">
        <v>0</v>
      </c>
      <c r="W37" s="657" t="s">
        <v>288</v>
      </c>
      <c r="X37" s="56">
        <v>78</v>
      </c>
      <c r="Y37" s="49"/>
      <c r="Z37" s="55"/>
      <c r="AA37" s="657">
        <v>4</v>
      </c>
      <c r="AB37" s="657">
        <v>1.3</v>
      </c>
      <c r="AC37" s="657">
        <v>6.9</v>
      </c>
      <c r="AD37" s="657">
        <v>0</v>
      </c>
      <c r="AE37" s="657"/>
      <c r="AF37" s="657"/>
      <c r="AG37" s="657">
        <v>0</v>
      </c>
      <c r="AH37" s="657">
        <v>0</v>
      </c>
      <c r="AI37" s="657">
        <v>0</v>
      </c>
    </row>
    <row r="38" spans="1:35" ht="15" customHeight="1">
      <c r="B38" s="257" t="s">
        <v>574</v>
      </c>
      <c r="C38" s="253" t="s">
        <v>1006</v>
      </c>
      <c r="D38" s="545">
        <v>0</v>
      </c>
      <c r="E38" s="250" t="s">
        <v>288</v>
      </c>
      <c r="F38" s="56">
        <v>78</v>
      </c>
      <c r="G38" s="49"/>
      <c r="H38" s="55"/>
      <c r="I38" s="250">
        <v>2.1</v>
      </c>
      <c r="J38" s="250">
        <v>0.77</v>
      </c>
      <c r="K38" s="250">
        <v>6.7</v>
      </c>
      <c r="L38" s="250">
        <v>0</v>
      </c>
      <c r="M38" s="250"/>
      <c r="N38" s="250"/>
      <c r="O38" s="547">
        <v>0</v>
      </c>
      <c r="P38" s="547">
        <v>0</v>
      </c>
      <c r="Q38" s="547">
        <v>0</v>
      </c>
      <c r="S38" s="11"/>
      <c r="T38" s="257" t="s">
        <v>574</v>
      </c>
      <c r="U38" s="658" t="s">
        <v>1006</v>
      </c>
      <c r="V38" s="658">
        <v>0</v>
      </c>
      <c r="W38" s="657" t="s">
        <v>288</v>
      </c>
      <c r="X38" s="56">
        <v>78</v>
      </c>
      <c r="Y38" s="49"/>
      <c r="Z38" s="55"/>
      <c r="AA38" s="657">
        <v>2.1</v>
      </c>
      <c r="AB38" s="657">
        <v>0.77</v>
      </c>
      <c r="AC38" s="657">
        <v>6.7</v>
      </c>
      <c r="AD38" s="657">
        <v>0</v>
      </c>
      <c r="AE38" s="657"/>
      <c r="AF38" s="657"/>
      <c r="AG38" s="657">
        <v>0</v>
      </c>
      <c r="AH38" s="657">
        <v>0</v>
      </c>
      <c r="AI38" s="657">
        <v>0</v>
      </c>
    </row>
    <row r="39" spans="1:35" ht="15" customHeight="1">
      <c r="B39" s="257" t="s">
        <v>853</v>
      </c>
      <c r="C39" s="253" t="s">
        <v>1007</v>
      </c>
      <c r="D39" s="545">
        <v>0</v>
      </c>
      <c r="E39" s="250" t="s">
        <v>289</v>
      </c>
      <c r="F39" s="250" t="s">
        <v>9</v>
      </c>
      <c r="G39" s="49"/>
      <c r="H39" s="55"/>
      <c r="I39" s="250">
        <v>0.26</v>
      </c>
      <c r="J39" s="250">
        <v>0.14000000000000001</v>
      </c>
      <c r="K39" s="250">
        <v>0.62</v>
      </c>
      <c r="L39" s="250">
        <v>0</v>
      </c>
      <c r="M39" s="250"/>
      <c r="N39" s="250"/>
      <c r="O39" s="547">
        <v>0</v>
      </c>
      <c r="P39" s="547">
        <v>0</v>
      </c>
      <c r="Q39" s="547">
        <v>0</v>
      </c>
      <c r="S39" s="11"/>
      <c r="T39" s="257" t="s">
        <v>853</v>
      </c>
      <c r="U39" s="658" t="s">
        <v>1007</v>
      </c>
      <c r="V39" s="658">
        <v>0</v>
      </c>
      <c r="W39" s="657" t="s">
        <v>289</v>
      </c>
      <c r="X39" s="657" t="s">
        <v>9</v>
      </c>
      <c r="Y39" s="49"/>
      <c r="Z39" s="55"/>
      <c r="AA39" s="657">
        <v>0.26</v>
      </c>
      <c r="AB39" s="657">
        <v>0.14000000000000001</v>
      </c>
      <c r="AC39" s="657">
        <v>0.62</v>
      </c>
      <c r="AD39" s="657">
        <v>0</v>
      </c>
      <c r="AE39" s="657"/>
      <c r="AF39" s="657"/>
      <c r="AG39" s="657">
        <v>0</v>
      </c>
      <c r="AH39" s="657">
        <v>0</v>
      </c>
      <c r="AI39" s="657">
        <v>0</v>
      </c>
    </row>
    <row r="40" spans="1:35" ht="15" customHeight="1">
      <c r="A40" s="572" t="s">
        <v>583</v>
      </c>
      <c r="B40" s="26" t="s">
        <v>864</v>
      </c>
      <c r="C40" s="1090" t="s">
        <v>1008</v>
      </c>
      <c r="D40" s="1090">
        <v>0</v>
      </c>
      <c r="E40" s="37" t="s">
        <v>290</v>
      </c>
      <c r="F40" s="37" t="s">
        <v>9</v>
      </c>
      <c r="G40" s="49"/>
      <c r="H40" s="1090"/>
      <c r="I40" s="63">
        <v>0.18</v>
      </c>
      <c r="J40" s="63">
        <v>0.08</v>
      </c>
      <c r="K40" s="63">
        <v>0.24</v>
      </c>
      <c r="L40" s="1091">
        <v>0</v>
      </c>
      <c r="M40" s="1091"/>
      <c r="N40" s="1091"/>
      <c r="O40" s="1091">
        <v>0</v>
      </c>
      <c r="P40" s="1091">
        <v>0</v>
      </c>
      <c r="Q40" s="1091">
        <v>0</v>
      </c>
      <c r="S40" s="11" t="s">
        <v>583</v>
      </c>
      <c r="T40" s="8" t="s">
        <v>864</v>
      </c>
      <c r="U40" s="658" t="s">
        <v>1008</v>
      </c>
      <c r="V40" s="658">
        <v>0</v>
      </c>
      <c r="W40" s="37" t="s">
        <v>290</v>
      </c>
      <c r="X40" s="37" t="s">
        <v>9</v>
      </c>
      <c r="Y40" s="49"/>
      <c r="Z40" s="658"/>
      <c r="AA40" s="62">
        <v>0.18</v>
      </c>
      <c r="AB40" s="62">
        <v>0.08</v>
      </c>
      <c r="AC40" s="62">
        <v>0.24</v>
      </c>
      <c r="AD40" s="657">
        <v>0</v>
      </c>
      <c r="AE40" s="657"/>
      <c r="AF40" s="657"/>
      <c r="AG40" s="657">
        <v>0</v>
      </c>
      <c r="AH40" s="657">
        <v>0</v>
      </c>
      <c r="AI40" s="657">
        <v>0</v>
      </c>
    </row>
    <row r="41" spans="1:35" ht="15" customHeight="1">
      <c r="B41" s="26" t="s">
        <v>865</v>
      </c>
      <c r="C41" s="1090" t="s">
        <v>1009</v>
      </c>
      <c r="D41" s="1090">
        <v>0</v>
      </c>
      <c r="E41" s="37" t="s">
        <v>291</v>
      </c>
      <c r="F41" s="37" t="s">
        <v>9</v>
      </c>
      <c r="G41" s="49"/>
      <c r="H41" s="1124"/>
      <c r="I41" s="1125">
        <v>0.25</v>
      </c>
      <c r="J41" s="1126">
        <v>0.14000000000000001</v>
      </c>
      <c r="K41" s="1126">
        <v>0.36</v>
      </c>
      <c r="L41" s="1091">
        <v>0</v>
      </c>
      <c r="M41" s="1091"/>
      <c r="N41" s="1091"/>
      <c r="O41" s="1091">
        <v>0</v>
      </c>
      <c r="P41" s="1091">
        <v>0</v>
      </c>
      <c r="Q41" s="1091">
        <v>0</v>
      </c>
      <c r="S41" s="11"/>
      <c r="T41" s="8" t="s">
        <v>865</v>
      </c>
      <c r="U41" s="658" t="s">
        <v>1009</v>
      </c>
      <c r="V41" s="658">
        <v>0</v>
      </c>
      <c r="W41" s="37" t="s">
        <v>291</v>
      </c>
      <c r="X41" s="37" t="s">
        <v>9</v>
      </c>
      <c r="Y41" s="49"/>
      <c r="Z41" s="132"/>
      <c r="AA41" s="36">
        <v>0.25</v>
      </c>
      <c r="AB41" s="23">
        <v>0.14000000000000001</v>
      </c>
      <c r="AC41" s="23">
        <v>0.36</v>
      </c>
      <c r="AD41" s="657">
        <v>0</v>
      </c>
      <c r="AE41" s="657"/>
      <c r="AF41" s="657"/>
      <c r="AG41" s="657">
        <v>0</v>
      </c>
      <c r="AH41" s="657">
        <v>0</v>
      </c>
      <c r="AI41" s="657">
        <v>0</v>
      </c>
    </row>
    <row r="42" spans="1:35" ht="15" customHeight="1">
      <c r="B42" s="26" t="s">
        <v>866</v>
      </c>
      <c r="C42" s="1090" t="s">
        <v>1010</v>
      </c>
      <c r="D42" s="1090">
        <v>0</v>
      </c>
      <c r="E42" s="37" t="s">
        <v>292</v>
      </c>
      <c r="F42" s="37" t="s">
        <v>9</v>
      </c>
      <c r="G42" s="49"/>
      <c r="H42" s="258"/>
      <c r="I42" s="1125">
        <v>0.25</v>
      </c>
      <c r="J42" s="1126">
        <v>0.21</v>
      </c>
      <c r="K42" s="1126">
        <v>0.55000000000000004</v>
      </c>
      <c r="L42" s="1091">
        <v>0</v>
      </c>
      <c r="M42" s="1091"/>
      <c r="N42" s="1126"/>
      <c r="O42" s="1091">
        <v>0</v>
      </c>
      <c r="P42" s="1091">
        <v>0</v>
      </c>
      <c r="Q42" s="1091">
        <v>0</v>
      </c>
      <c r="S42" s="11"/>
      <c r="T42" s="8" t="s">
        <v>866</v>
      </c>
      <c r="U42" s="658" t="s">
        <v>1010</v>
      </c>
      <c r="V42" s="658">
        <v>0</v>
      </c>
      <c r="W42" s="37" t="s">
        <v>292</v>
      </c>
      <c r="X42" s="37" t="s">
        <v>9</v>
      </c>
      <c r="Y42" s="49"/>
      <c r="Z42" s="258"/>
      <c r="AA42" s="36">
        <v>0.25</v>
      </c>
      <c r="AB42" s="23">
        <v>0.21</v>
      </c>
      <c r="AC42" s="23">
        <v>0.55000000000000004</v>
      </c>
      <c r="AD42" s="657">
        <v>0</v>
      </c>
      <c r="AE42" s="657"/>
      <c r="AF42" s="23"/>
      <c r="AG42" s="657">
        <v>0</v>
      </c>
      <c r="AH42" s="657">
        <v>0</v>
      </c>
      <c r="AI42" s="657">
        <v>0</v>
      </c>
    </row>
    <row r="43" spans="1:35" ht="15" customHeight="1">
      <c r="B43" s="1127" t="s">
        <v>585</v>
      </c>
      <c r="C43" s="1090" t="s">
        <v>1011</v>
      </c>
      <c r="D43" s="1090">
        <v>0</v>
      </c>
      <c r="E43" s="1090" t="s">
        <v>293</v>
      </c>
      <c r="F43" s="1090" t="s">
        <v>9</v>
      </c>
      <c r="G43" s="49"/>
      <c r="H43" s="1090"/>
      <c r="I43" s="63">
        <v>0.17</v>
      </c>
      <c r="J43" s="63">
        <v>0.05</v>
      </c>
      <c r="K43" s="63">
        <v>0.28000000000000003</v>
      </c>
      <c r="L43" s="1091">
        <v>0</v>
      </c>
      <c r="M43" s="1091"/>
      <c r="N43" s="1126"/>
      <c r="O43" s="1091">
        <v>0</v>
      </c>
      <c r="P43" s="1091">
        <v>0</v>
      </c>
      <c r="Q43" s="1091">
        <v>0</v>
      </c>
      <c r="S43" s="11"/>
      <c r="T43" s="244" t="s">
        <v>585</v>
      </c>
      <c r="U43" s="658" t="s">
        <v>1011</v>
      </c>
      <c r="V43" s="658">
        <v>0</v>
      </c>
      <c r="W43" s="658" t="s">
        <v>293</v>
      </c>
      <c r="X43" s="658" t="s">
        <v>9</v>
      </c>
      <c r="Y43" s="49"/>
      <c r="Z43" s="658"/>
      <c r="AA43" s="63">
        <v>0.17</v>
      </c>
      <c r="AB43" s="63">
        <v>0.05</v>
      </c>
      <c r="AC43" s="63">
        <v>0.28000000000000003</v>
      </c>
      <c r="AD43" s="657">
        <v>0</v>
      </c>
      <c r="AE43" s="657"/>
      <c r="AF43" s="23"/>
      <c r="AG43" s="657">
        <v>0</v>
      </c>
      <c r="AH43" s="657">
        <v>0</v>
      </c>
      <c r="AI43" s="657">
        <v>0</v>
      </c>
    </row>
    <row r="44" spans="1:35" ht="15" customHeight="1">
      <c r="A44" s="572" t="s">
        <v>582</v>
      </c>
      <c r="B44" s="244" t="s">
        <v>575</v>
      </c>
      <c r="C44" s="253" t="s">
        <v>1012</v>
      </c>
      <c r="D44" s="545">
        <v>0</v>
      </c>
      <c r="E44" s="249" t="s">
        <v>10</v>
      </c>
      <c r="F44" s="249">
        <v>86</v>
      </c>
      <c r="G44" s="49"/>
      <c r="H44" s="249"/>
      <c r="I44" s="63">
        <v>1</v>
      </c>
      <c r="J44" s="63">
        <v>0.64</v>
      </c>
      <c r="K44" s="63">
        <v>1.6</v>
      </c>
      <c r="L44" s="250">
        <v>0</v>
      </c>
      <c r="M44" s="250"/>
      <c r="N44" s="23"/>
      <c r="O44" s="547">
        <v>0</v>
      </c>
      <c r="P44" s="547">
        <v>0</v>
      </c>
      <c r="Q44" s="547">
        <v>0</v>
      </c>
      <c r="S44" s="11" t="s">
        <v>582</v>
      </c>
      <c r="T44" s="244" t="s">
        <v>575</v>
      </c>
      <c r="U44" s="658" t="s">
        <v>1012</v>
      </c>
      <c r="V44" s="658">
        <v>0</v>
      </c>
      <c r="W44" s="658" t="s">
        <v>10</v>
      </c>
      <c r="X44" s="658">
        <v>86</v>
      </c>
      <c r="Y44" s="49"/>
      <c r="Z44" s="658"/>
      <c r="AA44" s="63">
        <v>1</v>
      </c>
      <c r="AB44" s="63">
        <v>0.64</v>
      </c>
      <c r="AC44" s="63">
        <v>1.6</v>
      </c>
      <c r="AD44" s="657">
        <v>0</v>
      </c>
      <c r="AE44" s="657"/>
      <c r="AF44" s="23"/>
      <c r="AG44" s="657">
        <v>0</v>
      </c>
      <c r="AH44" s="657">
        <v>0</v>
      </c>
      <c r="AI44" s="657">
        <v>0</v>
      </c>
    </row>
    <row r="45" spans="1:35" ht="15" customHeight="1">
      <c r="B45" s="244" t="s">
        <v>577</v>
      </c>
      <c r="C45" s="253" t="s">
        <v>1013</v>
      </c>
      <c r="D45" s="545">
        <v>0</v>
      </c>
      <c r="E45" s="249" t="s">
        <v>10</v>
      </c>
      <c r="F45" s="249">
        <v>40</v>
      </c>
      <c r="G45" s="49"/>
      <c r="H45" s="249"/>
      <c r="I45" s="63">
        <v>0.4</v>
      </c>
      <c r="J45" s="63">
        <v>0.3</v>
      </c>
      <c r="K45" s="63">
        <v>0.8</v>
      </c>
      <c r="L45" s="250">
        <v>0</v>
      </c>
      <c r="M45" s="250"/>
      <c r="N45" s="23"/>
      <c r="O45" s="547">
        <v>0</v>
      </c>
      <c r="P45" s="547">
        <v>0</v>
      </c>
      <c r="Q45" s="547">
        <v>0</v>
      </c>
      <c r="T45" s="244" t="s">
        <v>577</v>
      </c>
      <c r="U45" s="658" t="s">
        <v>1013</v>
      </c>
      <c r="V45" s="658">
        <v>0</v>
      </c>
      <c r="W45" s="658" t="s">
        <v>10</v>
      </c>
      <c r="X45" s="658">
        <v>40</v>
      </c>
      <c r="Y45" s="49"/>
      <c r="Z45" s="658"/>
      <c r="AA45" s="63">
        <v>0.4</v>
      </c>
      <c r="AB45" s="63">
        <v>0.3</v>
      </c>
      <c r="AC45" s="63">
        <v>0.8</v>
      </c>
      <c r="AD45" s="657">
        <v>0</v>
      </c>
      <c r="AE45" s="657"/>
      <c r="AF45" s="23"/>
      <c r="AG45" s="657">
        <v>0</v>
      </c>
      <c r="AH45" s="657">
        <v>0</v>
      </c>
      <c r="AI45" s="657">
        <v>0</v>
      </c>
    </row>
    <row r="46" spans="1:35" ht="15" customHeight="1">
      <c r="B46" s="244" t="s">
        <v>576</v>
      </c>
      <c r="C46" s="253" t="s">
        <v>1014</v>
      </c>
      <c r="D46" s="545">
        <v>0</v>
      </c>
      <c r="E46" s="249" t="s">
        <v>10</v>
      </c>
      <c r="F46" s="249">
        <v>80</v>
      </c>
      <c r="G46" s="49"/>
      <c r="H46" s="249"/>
      <c r="I46" s="63">
        <v>0.15</v>
      </c>
      <c r="J46" s="63">
        <v>0.12</v>
      </c>
      <c r="K46" s="63">
        <v>0.6</v>
      </c>
      <c r="L46" s="250">
        <v>0</v>
      </c>
      <c r="M46" s="250"/>
      <c r="N46" s="23"/>
      <c r="O46" s="547">
        <v>0</v>
      </c>
      <c r="P46" s="547">
        <v>0</v>
      </c>
      <c r="Q46" s="547">
        <v>0</v>
      </c>
      <c r="T46" s="244" t="s">
        <v>576</v>
      </c>
      <c r="U46" s="658" t="s">
        <v>1014</v>
      </c>
      <c r="V46" s="658">
        <v>0</v>
      </c>
      <c r="W46" s="658" t="s">
        <v>10</v>
      </c>
      <c r="X46" s="658">
        <v>80</v>
      </c>
      <c r="Y46" s="49"/>
      <c r="Z46" s="658"/>
      <c r="AA46" s="63">
        <v>0.15</v>
      </c>
      <c r="AB46" s="63">
        <v>0.12</v>
      </c>
      <c r="AC46" s="63">
        <v>0.6</v>
      </c>
      <c r="AD46" s="657">
        <v>0</v>
      </c>
      <c r="AE46" s="657"/>
      <c r="AF46" s="23"/>
      <c r="AG46" s="657">
        <v>0</v>
      </c>
      <c r="AH46" s="657">
        <v>0</v>
      </c>
      <c r="AI46" s="657">
        <v>0</v>
      </c>
    </row>
    <row r="47" spans="1:35" ht="15" customHeight="1">
      <c r="A47" s="572" t="s">
        <v>297</v>
      </c>
      <c r="B47" s="61" t="s">
        <v>110</v>
      </c>
      <c r="C47" s="253" t="s">
        <v>1015</v>
      </c>
      <c r="D47" s="545">
        <v>0</v>
      </c>
      <c r="E47" s="112">
        <v>0</v>
      </c>
      <c r="F47" s="112">
        <v>0</v>
      </c>
      <c r="G47" s="484"/>
      <c r="H47" s="55"/>
      <c r="I47" s="112">
        <v>0</v>
      </c>
      <c r="J47" s="112">
        <v>0</v>
      </c>
      <c r="K47" s="112">
        <v>0</v>
      </c>
      <c r="L47" s="250">
        <v>0</v>
      </c>
      <c r="M47" s="112"/>
      <c r="N47" s="23"/>
      <c r="O47" s="547">
        <v>0</v>
      </c>
      <c r="P47" s="547">
        <v>0</v>
      </c>
      <c r="Q47" s="547">
        <v>0</v>
      </c>
      <c r="S47" s="5" t="s">
        <v>297</v>
      </c>
      <c r="T47" s="61" t="s">
        <v>110</v>
      </c>
      <c r="U47" s="658" t="s">
        <v>1015</v>
      </c>
      <c r="V47" s="658">
        <v>0</v>
      </c>
      <c r="W47" s="657">
        <v>0</v>
      </c>
      <c r="X47" s="657">
        <v>0</v>
      </c>
      <c r="Y47" s="484"/>
      <c r="Z47" s="55"/>
      <c r="AA47" s="657">
        <v>0</v>
      </c>
      <c r="AB47" s="657">
        <v>0</v>
      </c>
      <c r="AC47" s="657">
        <v>0</v>
      </c>
      <c r="AD47" s="657">
        <v>0</v>
      </c>
      <c r="AE47" s="657"/>
      <c r="AF47" s="23"/>
      <c r="AG47" s="657">
        <v>0</v>
      </c>
      <c r="AH47" s="657">
        <v>0</v>
      </c>
      <c r="AI47" s="657">
        <v>0</v>
      </c>
    </row>
    <row r="48" spans="1:35" ht="15" customHeight="1">
      <c r="B48" s="61" t="s">
        <v>110</v>
      </c>
      <c r="C48" s="253" t="s">
        <v>1015</v>
      </c>
      <c r="D48" s="545">
        <v>0</v>
      </c>
      <c r="E48" s="112">
        <v>0</v>
      </c>
      <c r="F48" s="112">
        <v>0</v>
      </c>
      <c r="G48" s="484"/>
      <c r="H48" s="55"/>
      <c r="I48" s="112">
        <v>0</v>
      </c>
      <c r="J48" s="112">
        <v>0</v>
      </c>
      <c r="K48" s="112">
        <v>0</v>
      </c>
      <c r="L48" s="250">
        <v>0</v>
      </c>
      <c r="M48" s="112"/>
      <c r="N48" s="23"/>
      <c r="O48" s="547">
        <v>0</v>
      </c>
      <c r="P48" s="547">
        <v>0</v>
      </c>
      <c r="Q48" s="547">
        <v>0</v>
      </c>
      <c r="T48" s="61" t="s">
        <v>110</v>
      </c>
      <c r="U48" s="658" t="s">
        <v>1015</v>
      </c>
      <c r="V48" s="658">
        <v>0</v>
      </c>
      <c r="W48" s="657">
        <v>0</v>
      </c>
      <c r="X48" s="657">
        <v>0</v>
      </c>
      <c r="Y48" s="484"/>
      <c r="Z48" s="55"/>
      <c r="AA48" s="657">
        <v>0</v>
      </c>
      <c r="AB48" s="657">
        <v>0</v>
      </c>
      <c r="AC48" s="657">
        <v>0</v>
      </c>
      <c r="AD48" s="657">
        <v>0</v>
      </c>
      <c r="AE48" s="657"/>
      <c r="AF48" s="23"/>
      <c r="AG48" s="657">
        <v>0</v>
      </c>
      <c r="AH48" s="657">
        <v>0</v>
      </c>
      <c r="AI48" s="657">
        <v>0</v>
      </c>
    </row>
    <row r="49" spans="1:35" ht="15" customHeight="1">
      <c r="B49" s="61" t="s">
        <v>110</v>
      </c>
      <c r="C49" s="253" t="s">
        <v>1015</v>
      </c>
      <c r="D49" s="545">
        <v>0</v>
      </c>
      <c r="E49" s="112">
        <v>0</v>
      </c>
      <c r="F49" s="112">
        <v>0</v>
      </c>
      <c r="G49" s="484"/>
      <c r="H49" s="55"/>
      <c r="I49" s="112">
        <v>0</v>
      </c>
      <c r="J49" s="112">
        <v>0</v>
      </c>
      <c r="K49" s="112">
        <v>0</v>
      </c>
      <c r="L49" s="250">
        <v>0</v>
      </c>
      <c r="M49" s="112"/>
      <c r="N49" s="23"/>
      <c r="O49" s="547">
        <v>0</v>
      </c>
      <c r="P49" s="547">
        <v>0</v>
      </c>
      <c r="Q49" s="547">
        <v>0</v>
      </c>
      <c r="T49" s="61" t="s">
        <v>110</v>
      </c>
      <c r="U49" s="658" t="s">
        <v>1015</v>
      </c>
      <c r="V49" s="658">
        <v>0</v>
      </c>
      <c r="W49" s="657">
        <v>0</v>
      </c>
      <c r="X49" s="657">
        <v>0</v>
      </c>
      <c r="Y49" s="484"/>
      <c r="Z49" s="55"/>
      <c r="AA49" s="657">
        <v>0</v>
      </c>
      <c r="AB49" s="657">
        <v>0</v>
      </c>
      <c r="AC49" s="657">
        <v>0</v>
      </c>
      <c r="AD49" s="657">
        <v>0</v>
      </c>
      <c r="AE49" s="657"/>
      <c r="AF49" s="23"/>
      <c r="AG49" s="657">
        <v>0</v>
      </c>
      <c r="AH49" s="657">
        <v>0</v>
      </c>
      <c r="AI49" s="657">
        <v>0</v>
      </c>
    </row>
    <row r="50" spans="1:35" ht="15" customHeight="1">
      <c r="B50" s="60" t="s">
        <v>110</v>
      </c>
      <c r="C50" s="253" t="s">
        <v>1015</v>
      </c>
      <c r="D50" s="545">
        <v>0</v>
      </c>
      <c r="E50" s="112">
        <v>0</v>
      </c>
      <c r="F50" s="112">
        <v>0</v>
      </c>
      <c r="G50" s="484"/>
      <c r="H50" s="55"/>
      <c r="I50" s="112">
        <v>0</v>
      </c>
      <c r="J50" s="112">
        <v>0</v>
      </c>
      <c r="K50" s="112">
        <v>0</v>
      </c>
      <c r="L50" s="250">
        <v>0</v>
      </c>
      <c r="M50" s="112"/>
      <c r="N50" s="23"/>
      <c r="O50" s="547">
        <v>0</v>
      </c>
      <c r="P50" s="547">
        <v>0</v>
      </c>
      <c r="Q50" s="547">
        <v>0</v>
      </c>
      <c r="T50" s="60" t="s">
        <v>110</v>
      </c>
      <c r="U50" s="658" t="s">
        <v>1015</v>
      </c>
      <c r="V50" s="658">
        <v>0</v>
      </c>
      <c r="W50" s="657">
        <v>0</v>
      </c>
      <c r="X50" s="657">
        <v>0</v>
      </c>
      <c r="Y50" s="484"/>
      <c r="Z50" s="55"/>
      <c r="AA50" s="657">
        <v>0</v>
      </c>
      <c r="AB50" s="657">
        <v>0</v>
      </c>
      <c r="AC50" s="657">
        <v>0</v>
      </c>
      <c r="AD50" s="657">
        <v>0</v>
      </c>
      <c r="AE50" s="657"/>
      <c r="AF50" s="23"/>
      <c r="AG50" s="657">
        <v>0</v>
      </c>
      <c r="AH50" s="657">
        <v>0</v>
      </c>
      <c r="AI50" s="657">
        <v>0</v>
      </c>
    </row>
    <row r="51" spans="1:35" ht="15" customHeight="1">
      <c r="A51" s="572" t="s">
        <v>294</v>
      </c>
      <c r="B51" s="263" t="s">
        <v>163</v>
      </c>
      <c r="C51" s="259">
        <v>0</v>
      </c>
      <c r="D51" s="545">
        <v>0</v>
      </c>
      <c r="E51" s="55">
        <v>0</v>
      </c>
      <c r="F51" s="55">
        <v>0</v>
      </c>
      <c r="G51" s="256"/>
      <c r="H51" s="55"/>
      <c r="I51" s="55">
        <v>0</v>
      </c>
      <c r="J51" s="55">
        <v>0</v>
      </c>
      <c r="K51" s="55">
        <v>0</v>
      </c>
      <c r="L51" s="44">
        <v>0</v>
      </c>
      <c r="M51" s="44"/>
      <c r="N51" s="23"/>
      <c r="O51" s="547">
        <v>0</v>
      </c>
      <c r="P51" s="547">
        <v>0</v>
      </c>
      <c r="Q51" s="547">
        <v>0</v>
      </c>
      <c r="S51" s="5" t="s">
        <v>294</v>
      </c>
      <c r="T51" s="300" t="s">
        <v>163</v>
      </c>
      <c r="U51" s="658">
        <v>0</v>
      </c>
      <c r="V51" s="658">
        <v>0</v>
      </c>
      <c r="W51" s="55">
        <v>0</v>
      </c>
      <c r="X51" s="55">
        <v>0</v>
      </c>
      <c r="Y51" s="256"/>
      <c r="Z51" s="55"/>
      <c r="AA51" s="55">
        <v>0</v>
      </c>
      <c r="AB51" s="55">
        <v>0</v>
      </c>
      <c r="AC51" s="55">
        <v>0</v>
      </c>
      <c r="AD51" s="44">
        <v>0</v>
      </c>
      <c r="AE51" s="44"/>
      <c r="AF51" s="23"/>
      <c r="AG51" s="657">
        <v>0</v>
      </c>
      <c r="AH51" s="657">
        <v>0</v>
      </c>
      <c r="AI51" s="657">
        <v>0</v>
      </c>
    </row>
    <row r="52" spans="1:35" ht="15" customHeight="1">
      <c r="B52" s="255" t="s">
        <v>882</v>
      </c>
      <c r="C52" s="253" t="s">
        <v>1016</v>
      </c>
      <c r="D52" s="545">
        <v>0</v>
      </c>
      <c r="E52" s="55" t="s">
        <v>10</v>
      </c>
      <c r="F52" s="55">
        <v>100</v>
      </c>
      <c r="G52" s="256"/>
      <c r="H52" s="98"/>
      <c r="I52" s="55">
        <v>1.6</v>
      </c>
      <c r="J52" s="55">
        <v>0.65</v>
      </c>
      <c r="K52" s="55">
        <v>1.4</v>
      </c>
      <c r="L52" s="44">
        <v>0</v>
      </c>
      <c r="M52" s="44"/>
      <c r="N52" s="254" t="s">
        <v>155</v>
      </c>
      <c r="O52" s="547">
        <v>0</v>
      </c>
      <c r="P52" s="547">
        <v>0</v>
      </c>
      <c r="Q52" s="547">
        <v>0</v>
      </c>
      <c r="T52" s="300" t="s">
        <v>882</v>
      </c>
      <c r="U52" s="658" t="s">
        <v>1016</v>
      </c>
      <c r="V52" s="658">
        <v>0</v>
      </c>
      <c r="W52" s="55" t="s">
        <v>10</v>
      </c>
      <c r="X52" s="55">
        <v>100</v>
      </c>
      <c r="Y52" s="256"/>
      <c r="Z52" s="98"/>
      <c r="AA52" s="55">
        <v>1.6</v>
      </c>
      <c r="AB52" s="55">
        <v>0.65</v>
      </c>
      <c r="AC52" s="55">
        <v>1.4</v>
      </c>
      <c r="AD52" s="44">
        <v>0</v>
      </c>
      <c r="AE52" s="44"/>
      <c r="AF52" s="657" t="s">
        <v>155</v>
      </c>
      <c r="AG52" s="657">
        <v>0</v>
      </c>
      <c r="AH52" s="657">
        <v>0</v>
      </c>
      <c r="AI52" s="657">
        <v>0</v>
      </c>
    </row>
    <row r="53" spans="1:35" ht="15" customHeight="1">
      <c r="B53" s="300" t="s">
        <v>987</v>
      </c>
      <c r="C53" s="650" t="s">
        <v>1023</v>
      </c>
      <c r="D53" s="650">
        <v>0</v>
      </c>
      <c r="E53" s="55" t="s">
        <v>10</v>
      </c>
      <c r="F53" s="55">
        <v>100</v>
      </c>
      <c r="G53" s="256"/>
      <c r="H53" s="98"/>
      <c r="I53" s="55">
        <v>1.6</v>
      </c>
      <c r="J53" s="55">
        <v>0.65</v>
      </c>
      <c r="K53" s="55">
        <v>1.4</v>
      </c>
      <c r="L53" s="660">
        <v>3.25</v>
      </c>
      <c r="M53" s="44"/>
      <c r="N53" s="649" t="s">
        <v>155</v>
      </c>
      <c r="O53" s="649">
        <v>0</v>
      </c>
      <c r="P53" s="649">
        <v>0</v>
      </c>
      <c r="Q53" s="649">
        <v>0</v>
      </c>
      <c r="T53" s="300" t="s">
        <v>987</v>
      </c>
      <c r="U53" s="658" t="s">
        <v>1023</v>
      </c>
      <c r="V53" s="658">
        <v>0</v>
      </c>
      <c r="W53" s="55" t="s">
        <v>10</v>
      </c>
      <c r="X53" s="55">
        <v>100</v>
      </c>
      <c r="Y53" s="256"/>
      <c r="Z53" s="98"/>
      <c r="AA53" s="55">
        <v>1.6</v>
      </c>
      <c r="AB53" s="55">
        <v>0.65</v>
      </c>
      <c r="AC53" s="55">
        <v>1.4</v>
      </c>
      <c r="AD53" s="660">
        <v>3.25</v>
      </c>
      <c r="AE53" s="44"/>
      <c r="AF53" s="657" t="s">
        <v>155</v>
      </c>
      <c r="AG53" s="657">
        <v>0</v>
      </c>
      <c r="AH53" s="657">
        <v>0</v>
      </c>
      <c r="AI53" s="657">
        <v>0</v>
      </c>
    </row>
    <row r="54" spans="1:35" ht="15" customHeight="1">
      <c r="B54" s="15" t="s">
        <v>870</v>
      </c>
      <c r="C54" s="259" t="s">
        <v>1017</v>
      </c>
      <c r="D54" s="545">
        <v>0</v>
      </c>
      <c r="E54" s="253" t="s">
        <v>10</v>
      </c>
      <c r="F54" s="254">
        <v>100</v>
      </c>
      <c r="G54" s="256"/>
      <c r="H54" s="55"/>
      <c r="I54" s="55">
        <v>1.35</v>
      </c>
      <c r="J54" s="55">
        <v>0.51</v>
      </c>
      <c r="K54" s="55">
        <v>1.61</v>
      </c>
      <c r="L54" s="254">
        <v>0</v>
      </c>
      <c r="M54" s="254"/>
      <c r="N54" s="254" t="s">
        <v>155</v>
      </c>
      <c r="O54" s="547">
        <v>0</v>
      </c>
      <c r="P54" s="547">
        <v>0</v>
      </c>
      <c r="Q54" s="547">
        <v>0</v>
      </c>
      <c r="T54" s="15" t="s">
        <v>870</v>
      </c>
      <c r="U54" s="658" t="s">
        <v>1017</v>
      </c>
      <c r="V54" s="658">
        <v>0</v>
      </c>
      <c r="W54" s="658" t="s">
        <v>10</v>
      </c>
      <c r="X54" s="657">
        <v>100</v>
      </c>
      <c r="Y54" s="256"/>
      <c r="Z54" s="55"/>
      <c r="AA54" s="55">
        <v>1.35</v>
      </c>
      <c r="AB54" s="55">
        <v>0.51</v>
      </c>
      <c r="AC54" s="55">
        <v>1.61</v>
      </c>
      <c r="AD54" s="657">
        <v>0</v>
      </c>
      <c r="AE54" s="657"/>
      <c r="AF54" s="657" t="s">
        <v>155</v>
      </c>
      <c r="AG54" s="657">
        <v>0</v>
      </c>
      <c r="AH54" s="657">
        <v>0</v>
      </c>
      <c r="AI54" s="657">
        <v>0</v>
      </c>
    </row>
    <row r="55" spans="1:35" ht="15" customHeight="1">
      <c r="B55" s="15" t="s">
        <v>916</v>
      </c>
      <c r="C55" s="636" t="s">
        <v>1018</v>
      </c>
      <c r="D55" s="636">
        <v>0</v>
      </c>
      <c r="E55" s="636" t="s">
        <v>917</v>
      </c>
      <c r="F55" s="635">
        <v>100</v>
      </c>
      <c r="G55" s="256"/>
      <c r="H55" s="55"/>
      <c r="I55" s="55">
        <v>1.68</v>
      </c>
      <c r="J55" s="55">
        <v>0.68</v>
      </c>
      <c r="K55" s="55">
        <v>0.6</v>
      </c>
      <c r="L55" s="635">
        <v>0</v>
      </c>
      <c r="M55" s="635"/>
      <c r="N55" s="635"/>
      <c r="O55" s="635">
        <v>0</v>
      </c>
      <c r="P55" s="635">
        <v>0</v>
      </c>
      <c r="Q55" s="635">
        <v>0</v>
      </c>
      <c r="T55" s="15" t="s">
        <v>916</v>
      </c>
      <c r="U55" s="658" t="s">
        <v>1018</v>
      </c>
      <c r="V55" s="658">
        <v>0</v>
      </c>
      <c r="W55" s="658" t="s">
        <v>917</v>
      </c>
      <c r="X55" s="657">
        <v>100</v>
      </c>
      <c r="Y55" s="256"/>
      <c r="Z55" s="55"/>
      <c r="AA55" s="55">
        <v>1.68</v>
      </c>
      <c r="AB55" s="55">
        <v>0.68</v>
      </c>
      <c r="AC55" s="55">
        <v>0.6</v>
      </c>
      <c r="AD55" s="657">
        <v>0</v>
      </c>
      <c r="AE55" s="657"/>
      <c r="AF55" s="657"/>
      <c r="AG55" s="657">
        <v>0</v>
      </c>
      <c r="AH55" s="657">
        <v>0</v>
      </c>
      <c r="AI55" s="657">
        <v>0</v>
      </c>
    </row>
    <row r="56" spans="1:35" ht="15" customHeight="1">
      <c r="B56" s="263" t="s">
        <v>871</v>
      </c>
      <c r="C56" s="259" t="s">
        <v>1019</v>
      </c>
      <c r="D56" s="545">
        <v>0</v>
      </c>
      <c r="E56" s="259" t="s">
        <v>10</v>
      </c>
      <c r="F56" s="259">
        <v>100</v>
      </c>
      <c r="G56" s="256"/>
      <c r="H56" s="98"/>
      <c r="I56" s="256">
        <v>1.08</v>
      </c>
      <c r="J56" s="256">
        <v>0.96</v>
      </c>
      <c r="K56" s="256">
        <v>1.52</v>
      </c>
      <c r="L56" s="44">
        <v>0</v>
      </c>
      <c r="M56" s="44"/>
      <c r="N56" s="260" t="s">
        <v>155</v>
      </c>
      <c r="O56" s="547">
        <v>0</v>
      </c>
      <c r="P56" s="547">
        <v>0</v>
      </c>
      <c r="Q56" s="547">
        <v>0</v>
      </c>
      <c r="T56" s="300" t="s">
        <v>871</v>
      </c>
      <c r="U56" s="658" t="s">
        <v>1019</v>
      </c>
      <c r="V56" s="658">
        <v>0</v>
      </c>
      <c r="W56" s="658" t="s">
        <v>10</v>
      </c>
      <c r="X56" s="658">
        <v>100</v>
      </c>
      <c r="Y56" s="256"/>
      <c r="Z56" s="98"/>
      <c r="AA56" s="256">
        <v>1.08</v>
      </c>
      <c r="AB56" s="256">
        <v>0.96</v>
      </c>
      <c r="AC56" s="256">
        <v>1.52</v>
      </c>
      <c r="AD56" s="44">
        <v>0</v>
      </c>
      <c r="AE56" s="44"/>
      <c r="AF56" s="657" t="s">
        <v>155</v>
      </c>
      <c r="AG56" s="657">
        <v>0</v>
      </c>
      <c r="AH56" s="657">
        <v>0</v>
      </c>
      <c r="AI56" s="657">
        <v>0</v>
      </c>
    </row>
    <row r="57" spans="1:35" ht="15" customHeight="1">
      <c r="B57" s="300" t="s">
        <v>918</v>
      </c>
      <c r="C57" s="636" t="s">
        <v>1020</v>
      </c>
      <c r="D57" s="636">
        <v>0</v>
      </c>
      <c r="E57" s="636" t="s">
        <v>10</v>
      </c>
      <c r="F57" s="636">
        <v>100</v>
      </c>
      <c r="G57" s="256"/>
      <c r="H57" s="98"/>
      <c r="I57" s="98">
        <v>1</v>
      </c>
      <c r="J57" s="98">
        <v>0.5</v>
      </c>
      <c r="K57" s="98">
        <v>1.5</v>
      </c>
      <c r="L57" s="44">
        <v>0</v>
      </c>
      <c r="M57" s="44"/>
      <c r="N57" s="635" t="s">
        <v>155</v>
      </c>
      <c r="O57" s="635">
        <v>0</v>
      </c>
      <c r="P57" s="635">
        <v>0</v>
      </c>
      <c r="Q57" s="635">
        <v>0</v>
      </c>
      <c r="T57" s="300" t="s">
        <v>918</v>
      </c>
      <c r="U57" s="658" t="s">
        <v>1020</v>
      </c>
      <c r="V57" s="658">
        <v>0</v>
      </c>
      <c r="W57" s="658" t="s">
        <v>10</v>
      </c>
      <c r="X57" s="658">
        <v>100</v>
      </c>
      <c r="Y57" s="256"/>
      <c r="Z57" s="98"/>
      <c r="AA57" s="98">
        <v>1</v>
      </c>
      <c r="AB57" s="98">
        <v>0.5</v>
      </c>
      <c r="AC57" s="98">
        <v>1.5</v>
      </c>
      <c r="AD57" s="44">
        <v>0</v>
      </c>
      <c r="AE57" s="44"/>
      <c r="AF57" s="657" t="s">
        <v>155</v>
      </c>
      <c r="AG57" s="657">
        <v>0</v>
      </c>
      <c r="AH57" s="657">
        <v>0</v>
      </c>
      <c r="AI57" s="657">
        <v>0</v>
      </c>
    </row>
    <row r="58" spans="1:35" ht="15" customHeight="1">
      <c r="B58" s="300" t="s">
        <v>919</v>
      </c>
      <c r="C58" s="636" t="s">
        <v>1021</v>
      </c>
      <c r="D58" s="636">
        <v>0</v>
      </c>
      <c r="E58" s="636" t="s">
        <v>10</v>
      </c>
      <c r="F58" s="636">
        <v>100</v>
      </c>
      <c r="G58" s="256"/>
      <c r="H58" s="98"/>
      <c r="I58" s="98">
        <v>1.1000000000000001</v>
      </c>
      <c r="J58" s="98">
        <v>0.4</v>
      </c>
      <c r="K58" s="98">
        <v>1.5</v>
      </c>
      <c r="L58" s="44">
        <v>0</v>
      </c>
      <c r="M58" s="44"/>
      <c r="N58" s="635" t="s">
        <v>155</v>
      </c>
      <c r="O58" s="635">
        <v>0</v>
      </c>
      <c r="P58" s="635">
        <v>0</v>
      </c>
      <c r="Q58" s="635">
        <v>0</v>
      </c>
      <c r="T58" s="300" t="s">
        <v>919</v>
      </c>
      <c r="U58" s="658" t="s">
        <v>1021</v>
      </c>
      <c r="V58" s="658">
        <v>0</v>
      </c>
      <c r="W58" s="658" t="s">
        <v>10</v>
      </c>
      <c r="X58" s="658">
        <v>100</v>
      </c>
      <c r="Y58" s="256"/>
      <c r="Z58" s="98"/>
      <c r="AA58" s="98">
        <v>1.1000000000000001</v>
      </c>
      <c r="AB58" s="98">
        <v>0.4</v>
      </c>
      <c r="AC58" s="98">
        <v>1.5</v>
      </c>
      <c r="AD58" s="44">
        <v>0</v>
      </c>
      <c r="AE58" s="44"/>
      <c r="AF58" s="657" t="s">
        <v>155</v>
      </c>
      <c r="AG58" s="657">
        <v>0</v>
      </c>
      <c r="AH58" s="657">
        <v>0</v>
      </c>
      <c r="AI58" s="657">
        <v>0</v>
      </c>
    </row>
    <row r="59" spans="1:35" ht="15" customHeight="1">
      <c r="B59" s="255" t="s">
        <v>872</v>
      </c>
      <c r="C59" s="259" t="s">
        <v>1022</v>
      </c>
      <c r="D59" s="545">
        <v>0</v>
      </c>
      <c r="E59" s="55" t="s">
        <v>10</v>
      </c>
      <c r="F59" s="55">
        <v>100</v>
      </c>
      <c r="G59" s="256"/>
      <c r="H59" s="55"/>
      <c r="I59" s="256">
        <v>3.25</v>
      </c>
      <c r="J59" s="256">
        <v>0.65</v>
      </c>
      <c r="K59" s="256">
        <v>3</v>
      </c>
      <c r="L59" s="23">
        <f>0.65/0.2</f>
        <v>3.25</v>
      </c>
      <c r="M59" s="254"/>
      <c r="N59" s="254" t="s">
        <v>155</v>
      </c>
      <c r="O59" s="547">
        <v>0</v>
      </c>
      <c r="P59" s="547">
        <v>0</v>
      </c>
      <c r="Q59" s="547">
        <v>0</v>
      </c>
      <c r="T59" s="300" t="s">
        <v>872</v>
      </c>
      <c r="U59" s="658" t="s">
        <v>1022</v>
      </c>
      <c r="V59" s="658">
        <v>0</v>
      </c>
      <c r="W59" s="55" t="s">
        <v>10</v>
      </c>
      <c r="X59" s="55">
        <v>100</v>
      </c>
      <c r="Y59" s="256"/>
      <c r="Z59" s="55"/>
      <c r="AA59" s="256">
        <v>3.25</v>
      </c>
      <c r="AB59" s="256">
        <v>0.65</v>
      </c>
      <c r="AC59" s="256">
        <v>3</v>
      </c>
      <c r="AD59" s="23">
        <f>0.65/0.2</f>
        <v>3.25</v>
      </c>
      <c r="AE59" s="657"/>
      <c r="AF59" s="657" t="s">
        <v>155</v>
      </c>
      <c r="AG59" s="657">
        <v>0</v>
      </c>
      <c r="AH59" s="657">
        <v>0</v>
      </c>
      <c r="AI59" s="657">
        <v>0</v>
      </c>
    </row>
    <row r="60" spans="1:35" ht="15" customHeight="1">
      <c r="B60" s="255" t="s">
        <v>873</v>
      </c>
      <c r="C60" s="259" t="s">
        <v>1023</v>
      </c>
      <c r="D60" s="545">
        <v>0</v>
      </c>
      <c r="E60" s="55" t="s">
        <v>10</v>
      </c>
      <c r="F60" s="55">
        <v>100</v>
      </c>
      <c r="G60" s="256"/>
      <c r="H60" s="55"/>
      <c r="I60" s="256">
        <v>2.9</v>
      </c>
      <c r="J60" s="256">
        <v>0.7</v>
      </c>
      <c r="K60" s="256">
        <v>3.1</v>
      </c>
      <c r="L60" s="23">
        <v>3.25</v>
      </c>
      <c r="M60" s="254"/>
      <c r="N60" s="254" t="s">
        <v>155</v>
      </c>
      <c r="O60" s="547">
        <v>0</v>
      </c>
      <c r="P60" s="547">
        <v>0</v>
      </c>
      <c r="Q60" s="547">
        <v>0</v>
      </c>
      <c r="T60" s="300" t="s">
        <v>873</v>
      </c>
      <c r="U60" s="658" t="s">
        <v>1023</v>
      </c>
      <c r="V60" s="658">
        <v>0</v>
      </c>
      <c r="W60" s="55" t="s">
        <v>10</v>
      </c>
      <c r="X60" s="55">
        <v>100</v>
      </c>
      <c r="Y60" s="256"/>
      <c r="Z60" s="55"/>
      <c r="AA60" s="256">
        <v>2.9</v>
      </c>
      <c r="AB60" s="256">
        <v>0.7</v>
      </c>
      <c r="AC60" s="256">
        <v>3.1</v>
      </c>
      <c r="AD60" s="23">
        <v>3.25</v>
      </c>
      <c r="AE60" s="657"/>
      <c r="AF60" s="657" t="s">
        <v>155</v>
      </c>
      <c r="AG60" s="657">
        <v>0</v>
      </c>
      <c r="AH60" s="657">
        <v>0</v>
      </c>
      <c r="AI60" s="657">
        <v>0</v>
      </c>
    </row>
    <row r="61" spans="1:35" ht="15" customHeight="1">
      <c r="B61" s="255" t="s">
        <v>874</v>
      </c>
      <c r="C61" s="259" t="s">
        <v>1022</v>
      </c>
      <c r="D61" s="545">
        <v>0</v>
      </c>
      <c r="E61" s="55" t="s">
        <v>10</v>
      </c>
      <c r="F61" s="55">
        <v>100</v>
      </c>
      <c r="G61" s="256"/>
      <c r="H61" s="55"/>
      <c r="I61" s="256">
        <v>3.25</v>
      </c>
      <c r="J61" s="256">
        <v>0.7</v>
      </c>
      <c r="K61" s="256">
        <v>3.25</v>
      </c>
      <c r="L61" s="23">
        <f>0.65/0.2</f>
        <v>3.25</v>
      </c>
      <c r="M61" s="254"/>
      <c r="N61" s="254" t="s">
        <v>155</v>
      </c>
      <c r="O61" s="547">
        <v>0</v>
      </c>
      <c r="P61" s="547">
        <v>0</v>
      </c>
      <c r="Q61" s="547">
        <v>0</v>
      </c>
      <c r="T61" s="300" t="s">
        <v>874</v>
      </c>
      <c r="U61" s="658" t="s">
        <v>1022</v>
      </c>
      <c r="V61" s="658">
        <v>0</v>
      </c>
      <c r="W61" s="55" t="s">
        <v>10</v>
      </c>
      <c r="X61" s="55">
        <v>100</v>
      </c>
      <c r="Y61" s="256"/>
      <c r="Z61" s="55"/>
      <c r="AA61" s="256">
        <v>3.25</v>
      </c>
      <c r="AB61" s="256">
        <v>0.7</v>
      </c>
      <c r="AC61" s="256">
        <v>3.25</v>
      </c>
      <c r="AD61" s="23">
        <f>0.65/0.2</f>
        <v>3.25</v>
      </c>
      <c r="AE61" s="657"/>
      <c r="AF61" s="657" t="s">
        <v>155</v>
      </c>
      <c r="AG61" s="657">
        <v>0</v>
      </c>
      <c r="AH61" s="657">
        <v>0</v>
      </c>
      <c r="AI61" s="657">
        <v>0</v>
      </c>
    </row>
    <row r="62" spans="1:35" ht="15" customHeight="1">
      <c r="B62" s="255" t="s">
        <v>875</v>
      </c>
      <c r="C62" s="259" t="s">
        <v>1023</v>
      </c>
      <c r="D62" s="545">
        <v>0</v>
      </c>
      <c r="E62" s="55" t="s">
        <v>10</v>
      </c>
      <c r="F62" s="55">
        <v>100</v>
      </c>
      <c r="G62" s="256"/>
      <c r="H62" s="55"/>
      <c r="I62" s="256">
        <v>2.9</v>
      </c>
      <c r="J62" s="256">
        <v>0.75</v>
      </c>
      <c r="K62" s="256">
        <v>3.25</v>
      </c>
      <c r="L62" s="23">
        <v>3.25</v>
      </c>
      <c r="M62" s="254"/>
      <c r="N62" s="254" t="s">
        <v>155</v>
      </c>
      <c r="O62" s="547">
        <v>0</v>
      </c>
      <c r="P62" s="547">
        <v>0</v>
      </c>
      <c r="Q62" s="547">
        <v>0</v>
      </c>
      <c r="T62" s="300" t="s">
        <v>875</v>
      </c>
      <c r="U62" s="658" t="s">
        <v>1023</v>
      </c>
      <c r="V62" s="658">
        <v>0</v>
      </c>
      <c r="W62" s="55" t="s">
        <v>10</v>
      </c>
      <c r="X62" s="55">
        <v>100</v>
      </c>
      <c r="Y62" s="256"/>
      <c r="Z62" s="55"/>
      <c r="AA62" s="256">
        <v>2.9</v>
      </c>
      <c r="AB62" s="256">
        <v>0.75</v>
      </c>
      <c r="AC62" s="256">
        <v>3.25</v>
      </c>
      <c r="AD62" s="23">
        <v>3.25</v>
      </c>
      <c r="AE62" s="657"/>
      <c r="AF62" s="657" t="s">
        <v>155</v>
      </c>
      <c r="AG62" s="657">
        <v>0</v>
      </c>
      <c r="AH62" s="657">
        <v>0</v>
      </c>
      <c r="AI62" s="657">
        <v>0</v>
      </c>
    </row>
    <row r="63" spans="1:35" ht="15" customHeight="1">
      <c r="B63" s="621" t="s">
        <v>876</v>
      </c>
      <c r="C63" s="259" t="s">
        <v>1024</v>
      </c>
      <c r="D63" s="545">
        <v>0</v>
      </c>
      <c r="E63" s="55" t="s">
        <v>10</v>
      </c>
      <c r="F63" s="55">
        <v>100</v>
      </c>
      <c r="G63" s="256"/>
      <c r="H63" s="55"/>
      <c r="I63" s="49" t="s">
        <v>605</v>
      </c>
      <c r="J63" s="49" t="s">
        <v>604</v>
      </c>
      <c r="K63" s="49" t="s">
        <v>604</v>
      </c>
      <c r="L63" s="254">
        <v>0</v>
      </c>
      <c r="M63" s="254"/>
      <c r="N63" s="254" t="s">
        <v>155</v>
      </c>
      <c r="O63" s="547">
        <v>0</v>
      </c>
      <c r="P63" s="547">
        <v>0</v>
      </c>
      <c r="Q63" s="547">
        <v>0</v>
      </c>
      <c r="T63" s="621" t="s">
        <v>876</v>
      </c>
      <c r="U63" s="658" t="s">
        <v>1024</v>
      </c>
      <c r="V63" s="658">
        <v>0</v>
      </c>
      <c r="W63" s="55" t="s">
        <v>10</v>
      </c>
      <c r="X63" s="55">
        <v>100</v>
      </c>
      <c r="Y63" s="256"/>
      <c r="Z63" s="55"/>
      <c r="AA63" s="49" t="s">
        <v>605</v>
      </c>
      <c r="AB63" s="49" t="s">
        <v>604</v>
      </c>
      <c r="AC63" s="49" t="s">
        <v>604</v>
      </c>
      <c r="AD63" s="657">
        <v>0</v>
      </c>
      <c r="AE63" s="657"/>
      <c r="AF63" s="657" t="s">
        <v>155</v>
      </c>
      <c r="AG63" s="657">
        <v>0</v>
      </c>
      <c r="AH63" s="657">
        <v>0</v>
      </c>
      <c r="AI63" s="657">
        <v>0</v>
      </c>
    </row>
    <row r="64" spans="1:35" ht="15" customHeight="1">
      <c r="B64" s="585" t="s">
        <v>883</v>
      </c>
      <c r="C64" s="259" t="s">
        <v>154</v>
      </c>
      <c r="D64" s="545">
        <v>0</v>
      </c>
      <c r="E64" s="55" t="s">
        <v>10</v>
      </c>
      <c r="F64" s="56">
        <v>100</v>
      </c>
      <c r="G64" s="49"/>
      <c r="H64" s="55"/>
      <c r="I64" s="49" t="s">
        <v>605</v>
      </c>
      <c r="J64" s="49" t="s">
        <v>604</v>
      </c>
      <c r="K64" s="49" t="s">
        <v>604</v>
      </c>
      <c r="L64" s="254">
        <v>3.25</v>
      </c>
      <c r="M64" s="254"/>
      <c r="N64" s="254" t="s">
        <v>154</v>
      </c>
      <c r="O64" s="547">
        <v>0</v>
      </c>
      <c r="P64" s="547">
        <v>0</v>
      </c>
      <c r="Q64" s="547">
        <v>0</v>
      </c>
      <c r="T64" s="585" t="s">
        <v>883</v>
      </c>
      <c r="U64" s="658" t="s">
        <v>154</v>
      </c>
      <c r="V64" s="658">
        <v>0</v>
      </c>
      <c r="W64" s="55" t="s">
        <v>10</v>
      </c>
      <c r="X64" s="56">
        <v>100</v>
      </c>
      <c r="Y64" s="49"/>
      <c r="Z64" s="55"/>
      <c r="AA64" s="49" t="s">
        <v>605</v>
      </c>
      <c r="AB64" s="49" t="s">
        <v>604</v>
      </c>
      <c r="AC64" s="49" t="s">
        <v>604</v>
      </c>
      <c r="AD64" s="657">
        <v>3.25</v>
      </c>
      <c r="AE64" s="657"/>
      <c r="AF64" s="657" t="s">
        <v>154</v>
      </c>
      <c r="AG64" s="657">
        <v>0</v>
      </c>
      <c r="AH64" s="657">
        <v>0</v>
      </c>
      <c r="AI64" s="657">
        <v>0</v>
      </c>
    </row>
    <row r="65" spans="2:35" ht="15" customHeight="1">
      <c r="B65" s="61" t="s">
        <v>110</v>
      </c>
      <c r="C65" s="259" t="s">
        <v>1015</v>
      </c>
      <c r="D65" s="545">
        <v>0</v>
      </c>
      <c r="E65" s="254">
        <v>0</v>
      </c>
      <c r="F65" s="254">
        <v>0</v>
      </c>
      <c r="G65" s="484"/>
      <c r="H65" s="55"/>
      <c r="I65" s="484">
        <v>0</v>
      </c>
      <c r="J65" s="484">
        <v>0</v>
      </c>
      <c r="K65" s="484">
        <v>0</v>
      </c>
      <c r="L65" s="254">
        <v>0</v>
      </c>
      <c r="M65" s="254"/>
      <c r="N65" s="254">
        <v>0</v>
      </c>
      <c r="O65" s="547">
        <v>0</v>
      </c>
      <c r="P65" s="547">
        <v>0</v>
      </c>
      <c r="Q65" s="547">
        <v>0</v>
      </c>
      <c r="T65" s="61" t="s">
        <v>110</v>
      </c>
      <c r="U65" s="658" t="s">
        <v>1015</v>
      </c>
      <c r="V65" s="658">
        <v>0</v>
      </c>
      <c r="W65" s="657">
        <v>0</v>
      </c>
      <c r="X65" s="657">
        <v>0</v>
      </c>
      <c r="Y65" s="484"/>
      <c r="Z65" s="55"/>
      <c r="AA65" s="484">
        <v>0</v>
      </c>
      <c r="AB65" s="484">
        <v>0</v>
      </c>
      <c r="AC65" s="484">
        <v>0</v>
      </c>
      <c r="AD65" s="657">
        <v>0</v>
      </c>
      <c r="AE65" s="657"/>
      <c r="AF65" s="657">
        <v>0</v>
      </c>
      <c r="AG65" s="657">
        <v>0</v>
      </c>
      <c r="AH65" s="657">
        <v>0</v>
      </c>
      <c r="AI65" s="657">
        <v>0</v>
      </c>
    </row>
    <row r="66" spans="2:35" ht="15" customHeight="1">
      <c r="B66" s="61" t="s">
        <v>110</v>
      </c>
      <c r="C66" s="613" t="s">
        <v>1015</v>
      </c>
      <c r="D66" s="613">
        <v>0</v>
      </c>
      <c r="E66" s="614">
        <v>0</v>
      </c>
      <c r="F66" s="614">
        <v>0</v>
      </c>
      <c r="G66" s="484"/>
      <c r="H66" s="55"/>
      <c r="I66" s="484">
        <v>0</v>
      </c>
      <c r="J66" s="484">
        <v>0</v>
      </c>
      <c r="K66" s="484">
        <v>0</v>
      </c>
      <c r="L66" s="614">
        <v>0</v>
      </c>
      <c r="M66" s="614"/>
      <c r="N66" s="614">
        <v>0</v>
      </c>
      <c r="O66" s="614">
        <v>0</v>
      </c>
      <c r="P66" s="614">
        <v>0</v>
      </c>
      <c r="Q66" s="614">
        <v>0</v>
      </c>
      <c r="T66" s="61" t="s">
        <v>110</v>
      </c>
      <c r="U66" s="658" t="s">
        <v>1015</v>
      </c>
      <c r="V66" s="658">
        <v>0</v>
      </c>
      <c r="W66" s="657">
        <v>0</v>
      </c>
      <c r="X66" s="657">
        <v>0</v>
      </c>
      <c r="Y66" s="484"/>
      <c r="Z66" s="55"/>
      <c r="AA66" s="484">
        <v>0</v>
      </c>
      <c r="AB66" s="484">
        <v>0</v>
      </c>
      <c r="AC66" s="484">
        <v>0</v>
      </c>
      <c r="AD66" s="657">
        <v>0</v>
      </c>
      <c r="AE66" s="657"/>
      <c r="AF66" s="657">
        <v>0</v>
      </c>
      <c r="AG66" s="657">
        <v>0</v>
      </c>
      <c r="AH66" s="657">
        <v>0</v>
      </c>
      <c r="AI66" s="657">
        <v>0</v>
      </c>
    </row>
    <row r="67" spans="2:35">
      <c r="B67" s="61" t="s">
        <v>110</v>
      </c>
      <c r="C67" s="259" t="s">
        <v>1015</v>
      </c>
      <c r="D67" s="545">
        <v>0</v>
      </c>
      <c r="E67" s="254">
        <v>0</v>
      </c>
      <c r="F67" s="254">
        <v>0</v>
      </c>
      <c r="G67" s="484"/>
      <c r="H67" s="55"/>
      <c r="I67" s="254">
        <v>0</v>
      </c>
      <c r="J67" s="254">
        <v>0</v>
      </c>
      <c r="K67" s="254">
        <v>0</v>
      </c>
      <c r="L67" s="254">
        <v>0</v>
      </c>
      <c r="M67" s="254"/>
      <c r="N67" s="254">
        <v>0</v>
      </c>
      <c r="O67" s="547">
        <v>0</v>
      </c>
      <c r="P67" s="547">
        <v>0</v>
      </c>
      <c r="Q67" s="547">
        <v>0</v>
      </c>
      <c r="T67" s="61" t="s">
        <v>110</v>
      </c>
      <c r="U67" s="658" t="s">
        <v>1015</v>
      </c>
      <c r="V67" s="658">
        <v>0</v>
      </c>
      <c r="W67" s="657">
        <v>0</v>
      </c>
      <c r="X67" s="657">
        <v>0</v>
      </c>
      <c r="Y67" s="484"/>
      <c r="Z67" s="55"/>
      <c r="AA67" s="657">
        <v>0</v>
      </c>
      <c r="AB67" s="657">
        <v>0</v>
      </c>
      <c r="AC67" s="657">
        <v>0</v>
      </c>
      <c r="AD67" s="657">
        <v>0</v>
      </c>
      <c r="AE67" s="657"/>
      <c r="AF67" s="657">
        <v>0</v>
      </c>
      <c r="AG67" s="657">
        <v>0</v>
      </c>
      <c r="AH67" s="657">
        <v>0</v>
      </c>
      <c r="AI67" s="657">
        <v>0</v>
      </c>
    </row>
    <row r="68" spans="2:35">
      <c r="V68" s="19"/>
      <c r="Y68" s="19"/>
      <c r="Z68" s="19"/>
    </row>
    <row r="69" spans="2:35" ht="18.75" customHeight="1">
      <c r="B69" s="89" t="s">
        <v>750</v>
      </c>
      <c r="N69" s="116"/>
      <c r="O69" s="379"/>
      <c r="P69" s="379"/>
      <c r="T69" s="89" t="s">
        <v>92</v>
      </c>
      <c r="V69" s="19"/>
      <c r="Y69" s="19"/>
      <c r="Z69" s="19"/>
      <c r="AF69" s="510"/>
      <c r="AG69" s="510"/>
      <c r="AH69" s="510"/>
    </row>
    <row r="70" spans="2:35" ht="33" customHeight="1">
      <c r="B70" s="90" t="s">
        <v>151</v>
      </c>
      <c r="C70" s="57"/>
      <c r="D70" s="132"/>
      <c r="E70" s="57"/>
      <c r="F70" s="57"/>
      <c r="G70" s="132"/>
      <c r="H70" s="1527" t="s">
        <v>17</v>
      </c>
      <c r="I70" s="1527"/>
      <c r="J70" s="1527"/>
      <c r="K70" s="1408" t="s">
        <v>855</v>
      </c>
      <c r="L70" s="655"/>
      <c r="M70" s="655"/>
      <c r="N70" s="242"/>
      <c r="O70" s="375"/>
      <c r="P70" s="375"/>
      <c r="T70" s="90" t="s">
        <v>151</v>
      </c>
      <c r="U70" s="57"/>
      <c r="V70" s="132"/>
      <c r="W70" s="57"/>
      <c r="X70" s="57"/>
      <c r="Y70" s="132"/>
      <c r="Z70" s="1527" t="s">
        <v>17</v>
      </c>
      <c r="AA70" s="1527"/>
      <c r="AB70" s="1527"/>
      <c r="AC70" s="1408" t="s">
        <v>855</v>
      </c>
      <c r="AD70" s="655"/>
      <c r="AE70" s="655"/>
      <c r="AF70" s="516"/>
      <c r="AG70" s="516"/>
      <c r="AH70" s="516"/>
    </row>
    <row r="71" spans="2:35" ht="49.5" customHeight="1">
      <c r="B71" s="54" t="s">
        <v>6</v>
      </c>
      <c r="C71" s="54" t="s">
        <v>256</v>
      </c>
      <c r="D71" s="525" t="s">
        <v>89</v>
      </c>
      <c r="E71" s="54" t="s">
        <v>7</v>
      </c>
      <c r="F71" s="54" t="s">
        <v>48</v>
      </c>
      <c r="G71" s="525"/>
      <c r="H71" s="54" t="s">
        <v>16</v>
      </c>
      <c r="I71" s="115" t="s">
        <v>113</v>
      </c>
      <c r="J71" s="115" t="s">
        <v>114</v>
      </c>
      <c r="K71" s="1530"/>
      <c r="L71" s="115"/>
      <c r="M71" s="114" t="s">
        <v>156</v>
      </c>
      <c r="N71" s="239"/>
      <c r="O71" s="373"/>
      <c r="P71" s="373"/>
      <c r="T71" s="54" t="s">
        <v>6</v>
      </c>
      <c r="U71" s="54" t="s">
        <v>256</v>
      </c>
      <c r="V71" s="525" t="s">
        <v>89</v>
      </c>
      <c r="W71" s="54" t="s">
        <v>7</v>
      </c>
      <c r="X71" s="54" t="s">
        <v>48</v>
      </c>
      <c r="Y71" s="525"/>
      <c r="Z71" s="54" t="s">
        <v>16</v>
      </c>
      <c r="AA71" s="655" t="s">
        <v>113</v>
      </c>
      <c r="AB71" s="655" t="s">
        <v>114</v>
      </c>
      <c r="AC71" s="1530"/>
      <c r="AD71" s="655"/>
      <c r="AE71" s="656" t="s">
        <v>156</v>
      </c>
      <c r="AF71" s="520"/>
      <c r="AG71" s="520"/>
      <c r="AH71" s="520"/>
    </row>
    <row r="72" spans="2:35" ht="15" customHeight="1">
      <c r="B72" s="6" t="s">
        <v>163</v>
      </c>
      <c r="C72" s="240">
        <v>0</v>
      </c>
      <c r="D72" s="256">
        <v>0</v>
      </c>
      <c r="E72" s="113">
        <v>0</v>
      </c>
      <c r="F72" s="113">
        <v>0</v>
      </c>
      <c r="G72" s="256"/>
      <c r="H72" s="113">
        <v>0</v>
      </c>
      <c r="I72" s="112">
        <v>0</v>
      </c>
      <c r="J72" s="241">
        <v>0</v>
      </c>
      <c r="K72" s="112">
        <v>0</v>
      </c>
      <c r="L72" s="112"/>
      <c r="M72" s="113">
        <v>0</v>
      </c>
      <c r="N72" s="25"/>
      <c r="O72" s="298"/>
      <c r="P72" s="298"/>
      <c r="T72" s="300" t="s">
        <v>163</v>
      </c>
      <c r="U72" s="658">
        <v>0</v>
      </c>
      <c r="V72" s="256">
        <v>0</v>
      </c>
      <c r="W72" s="658">
        <v>0</v>
      </c>
      <c r="X72" s="658">
        <v>0</v>
      </c>
      <c r="Y72" s="256"/>
      <c r="Z72" s="658">
        <v>0</v>
      </c>
      <c r="AA72" s="657">
        <v>0</v>
      </c>
      <c r="AB72" s="657">
        <v>0</v>
      </c>
      <c r="AC72" s="657">
        <v>0</v>
      </c>
      <c r="AD72" s="657"/>
      <c r="AE72" s="658">
        <v>0</v>
      </c>
      <c r="AF72" s="517"/>
      <c r="AG72" s="517"/>
      <c r="AH72" s="517"/>
    </row>
    <row r="73" spans="2:35" ht="15" customHeight="1">
      <c r="B73" s="255" t="s">
        <v>869</v>
      </c>
      <c r="C73" s="253" t="s">
        <v>1016</v>
      </c>
      <c r="D73" s="256">
        <v>0</v>
      </c>
      <c r="E73" s="55" t="s">
        <v>10</v>
      </c>
      <c r="F73" s="55">
        <v>100</v>
      </c>
      <c r="G73" s="256"/>
      <c r="H73" s="55">
        <v>1.6</v>
      </c>
      <c r="I73" s="56">
        <v>0.65</v>
      </c>
      <c r="J73" s="56">
        <v>1.4</v>
      </c>
      <c r="K73" s="44">
        <v>0</v>
      </c>
      <c r="L73" s="44"/>
      <c r="M73" s="254" t="s">
        <v>155</v>
      </c>
      <c r="T73" s="300" t="s">
        <v>869</v>
      </c>
      <c r="U73" s="658" t="s">
        <v>1016</v>
      </c>
      <c r="V73" s="256">
        <v>0</v>
      </c>
      <c r="W73" s="55" t="s">
        <v>10</v>
      </c>
      <c r="X73" s="55">
        <v>100</v>
      </c>
      <c r="Y73" s="256"/>
      <c r="Z73" s="55">
        <v>1.6</v>
      </c>
      <c r="AA73" s="56">
        <v>0.65</v>
      </c>
      <c r="AB73" s="56">
        <v>1.4</v>
      </c>
      <c r="AC73" s="44">
        <v>0</v>
      </c>
      <c r="AD73" s="44"/>
      <c r="AE73" s="657" t="s">
        <v>155</v>
      </c>
    </row>
    <row r="74" spans="2:35" ht="15" customHeight="1">
      <c r="B74" s="15" t="s">
        <v>870</v>
      </c>
      <c r="C74" s="253" t="s">
        <v>1017</v>
      </c>
      <c r="D74" s="256">
        <v>0</v>
      </c>
      <c r="E74" s="253" t="s">
        <v>10</v>
      </c>
      <c r="F74" s="254">
        <v>100</v>
      </c>
      <c r="G74" s="256"/>
      <c r="H74" s="254">
        <v>1.35</v>
      </c>
      <c r="I74" s="254">
        <v>0.51</v>
      </c>
      <c r="J74" s="254">
        <v>1.61</v>
      </c>
      <c r="K74" s="254">
        <v>0</v>
      </c>
      <c r="L74" s="254"/>
      <c r="M74" s="254" t="s">
        <v>155</v>
      </c>
      <c r="T74" s="15" t="s">
        <v>870</v>
      </c>
      <c r="U74" s="658" t="s">
        <v>1017</v>
      </c>
      <c r="V74" s="256">
        <v>0</v>
      </c>
      <c r="W74" s="658" t="s">
        <v>10</v>
      </c>
      <c r="X74" s="657">
        <v>100</v>
      </c>
      <c r="Y74" s="256"/>
      <c r="Z74" s="657">
        <v>1.35</v>
      </c>
      <c r="AA74" s="657">
        <v>0.51</v>
      </c>
      <c r="AB74" s="657">
        <v>1.61</v>
      </c>
      <c r="AC74" s="657">
        <v>0</v>
      </c>
      <c r="AD74" s="657"/>
      <c r="AE74" s="657" t="s">
        <v>155</v>
      </c>
    </row>
    <row r="75" spans="2:35" ht="15" customHeight="1">
      <c r="B75" s="263" t="s">
        <v>871</v>
      </c>
      <c r="C75" s="259" t="s">
        <v>1019</v>
      </c>
      <c r="D75" s="256">
        <v>0</v>
      </c>
      <c r="E75" s="259" t="s">
        <v>10</v>
      </c>
      <c r="F75" s="259">
        <v>100</v>
      </c>
      <c r="G75" s="256"/>
      <c r="H75" s="260">
        <v>1.08</v>
      </c>
      <c r="I75" s="260">
        <v>0.96</v>
      </c>
      <c r="J75" s="260">
        <v>1.52</v>
      </c>
      <c r="K75" s="260">
        <v>0</v>
      </c>
      <c r="L75" s="44"/>
      <c r="M75" s="612" t="s">
        <v>155</v>
      </c>
      <c r="N75" s="517"/>
      <c r="O75" s="298"/>
      <c r="P75" s="298"/>
      <c r="T75" s="300" t="s">
        <v>871</v>
      </c>
      <c r="U75" s="658" t="s">
        <v>1019</v>
      </c>
      <c r="V75" s="256">
        <v>0</v>
      </c>
      <c r="W75" s="658" t="s">
        <v>10</v>
      </c>
      <c r="X75" s="658">
        <v>100</v>
      </c>
      <c r="Y75" s="256"/>
      <c r="Z75" s="657">
        <v>1.08</v>
      </c>
      <c r="AA75" s="657">
        <v>0.96</v>
      </c>
      <c r="AB75" s="657">
        <v>1.52</v>
      </c>
      <c r="AC75" s="657">
        <v>0</v>
      </c>
      <c r="AD75" s="44"/>
      <c r="AE75" s="657" t="s">
        <v>155</v>
      </c>
      <c r="AF75" s="517"/>
      <c r="AG75" s="517"/>
      <c r="AH75" s="517"/>
    </row>
    <row r="76" spans="2:35" ht="15" customHeight="1">
      <c r="B76" s="263" t="s">
        <v>872</v>
      </c>
      <c r="C76" s="259" t="s">
        <v>1022</v>
      </c>
      <c r="D76" s="256">
        <v>0</v>
      </c>
      <c r="E76" s="55" t="s">
        <v>10</v>
      </c>
      <c r="F76" s="55">
        <v>100</v>
      </c>
      <c r="G76" s="256"/>
      <c r="H76" s="256">
        <v>3.25</v>
      </c>
      <c r="I76" s="256">
        <v>0.65</v>
      </c>
      <c r="J76" s="256">
        <v>3</v>
      </c>
      <c r="K76" s="23">
        <f>0.65/0.2</f>
        <v>3.25</v>
      </c>
      <c r="L76" s="260"/>
      <c r="M76" s="260" t="s">
        <v>155</v>
      </c>
      <c r="T76" s="300" t="s">
        <v>872</v>
      </c>
      <c r="U76" s="658" t="s">
        <v>1022</v>
      </c>
      <c r="V76" s="256">
        <v>0</v>
      </c>
      <c r="W76" s="55" t="s">
        <v>10</v>
      </c>
      <c r="X76" s="55">
        <v>100</v>
      </c>
      <c r="Y76" s="256"/>
      <c r="Z76" s="256">
        <v>3.25</v>
      </c>
      <c r="AA76" s="256">
        <v>0.65</v>
      </c>
      <c r="AB76" s="256">
        <v>3</v>
      </c>
      <c r="AC76" s="23">
        <f>0.65/0.2</f>
        <v>3.25</v>
      </c>
      <c r="AD76" s="657"/>
      <c r="AE76" s="657" t="s">
        <v>155</v>
      </c>
    </row>
    <row r="77" spans="2:35" ht="15" customHeight="1">
      <c r="B77" s="263" t="s">
        <v>873</v>
      </c>
      <c r="C77" s="259" t="s">
        <v>1023</v>
      </c>
      <c r="D77" s="256">
        <v>0</v>
      </c>
      <c r="E77" s="55" t="s">
        <v>10</v>
      </c>
      <c r="F77" s="55">
        <v>100</v>
      </c>
      <c r="G77" s="256"/>
      <c r="H77" s="256">
        <v>2.9</v>
      </c>
      <c r="I77" s="256">
        <v>0.7</v>
      </c>
      <c r="J77" s="256">
        <v>3.1</v>
      </c>
      <c r="K77" s="23">
        <v>3.25</v>
      </c>
      <c r="L77" s="260"/>
      <c r="M77" s="260" t="s">
        <v>155</v>
      </c>
      <c r="T77" s="300" t="s">
        <v>873</v>
      </c>
      <c r="U77" s="658" t="s">
        <v>1023</v>
      </c>
      <c r="V77" s="256">
        <v>0</v>
      </c>
      <c r="W77" s="55" t="s">
        <v>10</v>
      </c>
      <c r="X77" s="55">
        <v>100</v>
      </c>
      <c r="Y77" s="256"/>
      <c r="Z77" s="256">
        <v>2.9</v>
      </c>
      <c r="AA77" s="256">
        <v>0.7</v>
      </c>
      <c r="AB77" s="256">
        <v>3.1</v>
      </c>
      <c r="AC77" s="23">
        <v>3.25</v>
      </c>
      <c r="AD77" s="657"/>
      <c r="AE77" s="657" t="s">
        <v>155</v>
      </c>
    </row>
    <row r="78" spans="2:35" ht="15" customHeight="1">
      <c r="B78" s="263" t="s">
        <v>874</v>
      </c>
      <c r="C78" s="259" t="s">
        <v>1022</v>
      </c>
      <c r="D78" s="256">
        <v>0</v>
      </c>
      <c r="E78" s="55" t="s">
        <v>10</v>
      </c>
      <c r="F78" s="55">
        <v>100</v>
      </c>
      <c r="G78" s="256"/>
      <c r="H78" s="256">
        <v>3.25</v>
      </c>
      <c r="I78" s="256">
        <v>0.7</v>
      </c>
      <c r="J78" s="256">
        <v>3.25</v>
      </c>
      <c r="K78" s="23">
        <f>0.65/0.2</f>
        <v>3.25</v>
      </c>
      <c r="L78" s="260"/>
      <c r="M78" s="260" t="s">
        <v>155</v>
      </c>
      <c r="N78" s="59"/>
      <c r="O78" s="59"/>
      <c r="P78" s="59"/>
      <c r="Q78" s="59"/>
      <c r="T78" s="300" t="s">
        <v>874</v>
      </c>
      <c r="U78" s="658" t="s">
        <v>1022</v>
      </c>
      <c r="V78" s="256">
        <v>0</v>
      </c>
      <c r="W78" s="55" t="s">
        <v>10</v>
      </c>
      <c r="X78" s="55">
        <v>100</v>
      </c>
      <c r="Y78" s="256"/>
      <c r="Z78" s="256">
        <v>3.25</v>
      </c>
      <c r="AA78" s="256">
        <v>0.7</v>
      </c>
      <c r="AB78" s="256">
        <v>3.25</v>
      </c>
      <c r="AC78" s="23">
        <f>0.65/0.2</f>
        <v>3.25</v>
      </c>
      <c r="AD78" s="657"/>
      <c r="AE78" s="657" t="s">
        <v>155</v>
      </c>
      <c r="AF78" s="59"/>
      <c r="AG78" s="59"/>
      <c r="AH78" s="59"/>
      <c r="AI78" s="59"/>
    </row>
    <row r="79" spans="2:35" ht="15" customHeight="1">
      <c r="B79" s="263" t="s">
        <v>875</v>
      </c>
      <c r="C79" s="259" t="s">
        <v>1023</v>
      </c>
      <c r="D79" s="256">
        <v>0</v>
      </c>
      <c r="E79" s="55" t="s">
        <v>10</v>
      </c>
      <c r="F79" s="55">
        <v>100</v>
      </c>
      <c r="G79" s="256"/>
      <c r="H79" s="256">
        <v>2.9</v>
      </c>
      <c r="I79" s="256">
        <v>0.75</v>
      </c>
      <c r="J79" s="256">
        <v>3.25</v>
      </c>
      <c r="K79" s="23">
        <v>3.25</v>
      </c>
      <c r="L79" s="260"/>
      <c r="M79" s="260" t="s">
        <v>155</v>
      </c>
      <c r="Q79" s="59"/>
      <c r="T79" s="300" t="s">
        <v>875</v>
      </c>
      <c r="U79" s="658" t="s">
        <v>1023</v>
      </c>
      <c r="V79" s="256">
        <v>0</v>
      </c>
      <c r="W79" s="55" t="s">
        <v>10</v>
      </c>
      <c r="X79" s="55">
        <v>100</v>
      </c>
      <c r="Y79" s="256"/>
      <c r="Z79" s="256">
        <v>2.9</v>
      </c>
      <c r="AA79" s="256">
        <v>0.75</v>
      </c>
      <c r="AB79" s="256">
        <v>3.25</v>
      </c>
      <c r="AC79" s="23">
        <v>3.25</v>
      </c>
      <c r="AD79" s="657"/>
      <c r="AE79" s="657" t="s">
        <v>155</v>
      </c>
      <c r="AI79" s="59"/>
    </row>
    <row r="80" spans="2:35" ht="15" customHeight="1">
      <c r="B80" s="255" t="s">
        <v>876</v>
      </c>
      <c r="C80" s="259" t="s">
        <v>1024</v>
      </c>
      <c r="D80" s="256">
        <v>0</v>
      </c>
      <c r="E80" s="55" t="s">
        <v>10</v>
      </c>
      <c r="F80" s="55">
        <v>100</v>
      </c>
      <c r="G80" s="256"/>
      <c r="H80" s="256">
        <v>2.8</v>
      </c>
      <c r="I80" s="484">
        <v>0.8</v>
      </c>
      <c r="J80" s="484">
        <v>3.25</v>
      </c>
      <c r="K80" s="254">
        <v>0</v>
      </c>
      <c r="L80" s="254"/>
      <c r="M80" s="254" t="s">
        <v>155</v>
      </c>
      <c r="T80" s="300" t="s">
        <v>876</v>
      </c>
      <c r="U80" s="658" t="s">
        <v>1024</v>
      </c>
      <c r="V80" s="256">
        <v>0</v>
      </c>
      <c r="W80" s="55" t="s">
        <v>10</v>
      </c>
      <c r="X80" s="55">
        <v>100</v>
      </c>
      <c r="Y80" s="256"/>
      <c r="Z80" s="256">
        <v>2.8</v>
      </c>
      <c r="AA80" s="484">
        <v>0.8</v>
      </c>
      <c r="AB80" s="484">
        <v>3.25</v>
      </c>
      <c r="AC80" s="657">
        <v>0</v>
      </c>
      <c r="AD80" s="657"/>
      <c r="AE80" s="657" t="s">
        <v>155</v>
      </c>
    </row>
    <row r="81" spans="1:35" ht="15" customHeight="1">
      <c r="B81" s="263" t="s">
        <v>988</v>
      </c>
      <c r="C81" s="259" t="s">
        <v>1023</v>
      </c>
      <c r="D81" s="256">
        <v>0</v>
      </c>
      <c r="E81" s="55" t="s">
        <v>10</v>
      </c>
      <c r="F81" s="55">
        <v>100</v>
      </c>
      <c r="G81" s="256"/>
      <c r="H81" s="55">
        <v>2.86</v>
      </c>
      <c r="I81" s="56">
        <v>0.86</v>
      </c>
      <c r="J81" s="56">
        <v>3</v>
      </c>
      <c r="K81" s="112">
        <v>3.25</v>
      </c>
      <c r="L81" s="112"/>
      <c r="M81" s="112" t="s">
        <v>155</v>
      </c>
      <c r="R81" s="59"/>
      <c r="T81" s="300" t="s">
        <v>988</v>
      </c>
      <c r="U81" s="658" t="s">
        <v>1023</v>
      </c>
      <c r="V81" s="256">
        <v>0</v>
      </c>
      <c r="W81" s="55" t="s">
        <v>10</v>
      </c>
      <c r="X81" s="55">
        <v>100</v>
      </c>
      <c r="Y81" s="256"/>
      <c r="Z81" s="55">
        <v>2.86</v>
      </c>
      <c r="AA81" s="56">
        <v>0.86</v>
      </c>
      <c r="AB81" s="56">
        <v>3</v>
      </c>
      <c r="AC81" s="657">
        <v>3.25</v>
      </c>
      <c r="AD81" s="657"/>
      <c r="AE81" s="657" t="s">
        <v>155</v>
      </c>
    </row>
    <row r="82" spans="1:35" ht="15" customHeight="1">
      <c r="B82" s="119" t="s">
        <v>877</v>
      </c>
      <c r="C82" s="259" t="s">
        <v>1025</v>
      </c>
      <c r="D82" s="256">
        <v>0</v>
      </c>
      <c r="E82" s="56" t="s">
        <v>10</v>
      </c>
      <c r="F82" s="55">
        <v>100</v>
      </c>
      <c r="G82" s="526"/>
      <c r="H82" s="58">
        <v>1.75</v>
      </c>
      <c r="I82" s="58">
        <v>0.55000000000000004</v>
      </c>
      <c r="J82" s="58">
        <v>2.25</v>
      </c>
      <c r="K82" s="46">
        <v>1.9</v>
      </c>
      <c r="L82" s="112"/>
      <c r="M82" s="112" t="s">
        <v>155</v>
      </c>
      <c r="N82" s="5"/>
      <c r="R82" s="59"/>
      <c r="T82" s="119" t="s">
        <v>877</v>
      </c>
      <c r="U82" s="658" t="s">
        <v>1025</v>
      </c>
      <c r="V82" s="256">
        <v>0</v>
      </c>
      <c r="W82" s="56" t="s">
        <v>10</v>
      </c>
      <c r="X82" s="55">
        <v>100</v>
      </c>
      <c r="Y82" s="526"/>
      <c r="Z82" s="58">
        <v>1.75</v>
      </c>
      <c r="AA82" s="58">
        <v>0.55000000000000004</v>
      </c>
      <c r="AB82" s="58">
        <v>2.25</v>
      </c>
      <c r="AC82" s="46">
        <v>1.9</v>
      </c>
      <c r="AD82" s="657"/>
      <c r="AE82" s="657" t="s">
        <v>155</v>
      </c>
      <c r="AF82" s="5"/>
    </row>
    <row r="83" spans="1:35" ht="15" customHeight="1">
      <c r="B83" s="119" t="s">
        <v>878</v>
      </c>
      <c r="C83" s="259" t="s">
        <v>1026</v>
      </c>
      <c r="D83" s="256">
        <v>0</v>
      </c>
      <c r="E83" s="56" t="s">
        <v>10</v>
      </c>
      <c r="F83" s="55">
        <v>100</v>
      </c>
      <c r="G83" s="526"/>
      <c r="H83" s="58">
        <v>1.75</v>
      </c>
      <c r="I83" s="58">
        <v>0.55000000000000004</v>
      </c>
      <c r="J83" s="58">
        <v>2.25</v>
      </c>
      <c r="K83" s="112">
        <v>0</v>
      </c>
      <c r="L83" s="112"/>
      <c r="M83" s="112" t="s">
        <v>155</v>
      </c>
      <c r="N83" s="25"/>
      <c r="O83" s="298"/>
      <c r="P83" s="298"/>
      <c r="T83" s="119" t="s">
        <v>878</v>
      </c>
      <c r="U83" s="658" t="s">
        <v>1026</v>
      </c>
      <c r="V83" s="256">
        <v>0</v>
      </c>
      <c r="W83" s="56" t="s">
        <v>10</v>
      </c>
      <c r="X83" s="55">
        <v>100</v>
      </c>
      <c r="Y83" s="526"/>
      <c r="Z83" s="58">
        <v>1.75</v>
      </c>
      <c r="AA83" s="58">
        <v>0.55000000000000004</v>
      </c>
      <c r="AB83" s="58">
        <v>2.25</v>
      </c>
      <c r="AC83" s="657">
        <v>0</v>
      </c>
      <c r="AD83" s="657"/>
      <c r="AE83" s="657" t="s">
        <v>155</v>
      </c>
      <c r="AF83" s="517"/>
      <c r="AG83" s="517"/>
      <c r="AH83" s="517"/>
    </row>
    <row r="84" spans="1:35" ht="15" customHeight="1">
      <c r="B84" s="119" t="s">
        <v>879</v>
      </c>
      <c r="C84" s="259" t="s">
        <v>1027</v>
      </c>
      <c r="D84" s="256">
        <v>0</v>
      </c>
      <c r="E84" s="56" t="s">
        <v>10</v>
      </c>
      <c r="F84" s="55">
        <v>100</v>
      </c>
      <c r="G84" s="526"/>
      <c r="H84" s="58">
        <v>2.46</v>
      </c>
      <c r="I84" s="58">
        <v>0.55000000000000004</v>
      </c>
      <c r="J84" s="58">
        <v>2.25</v>
      </c>
      <c r="K84" s="112">
        <v>0</v>
      </c>
      <c r="L84" s="112"/>
      <c r="M84" s="112" t="s">
        <v>155</v>
      </c>
      <c r="N84" s="25"/>
      <c r="O84" s="298"/>
      <c r="P84" s="298"/>
      <c r="T84" s="119" t="s">
        <v>879</v>
      </c>
      <c r="U84" s="658" t="s">
        <v>1027</v>
      </c>
      <c r="V84" s="256">
        <v>0</v>
      </c>
      <c r="W84" s="56" t="s">
        <v>10</v>
      </c>
      <c r="X84" s="55">
        <v>100</v>
      </c>
      <c r="Y84" s="526"/>
      <c r="Z84" s="58">
        <v>2.46</v>
      </c>
      <c r="AA84" s="58">
        <v>0.55000000000000004</v>
      </c>
      <c r="AB84" s="58">
        <v>2.25</v>
      </c>
      <c r="AC84" s="657">
        <v>0</v>
      </c>
      <c r="AD84" s="657"/>
      <c r="AE84" s="657" t="s">
        <v>155</v>
      </c>
      <c r="AF84" s="517"/>
      <c r="AG84" s="517"/>
      <c r="AH84" s="517"/>
    </row>
    <row r="85" spans="1:35" ht="15" customHeight="1">
      <c r="A85" s="572" t="s">
        <v>884</v>
      </c>
      <c r="B85" s="300" t="s">
        <v>857</v>
      </c>
      <c r="C85" s="616" t="s">
        <v>1028</v>
      </c>
      <c r="D85" s="256">
        <v>0</v>
      </c>
      <c r="E85" s="617" t="s">
        <v>859</v>
      </c>
      <c r="F85" s="55">
        <v>86</v>
      </c>
      <c r="G85" s="526"/>
      <c r="H85" s="55">
        <v>2.2000000000000002</v>
      </c>
      <c r="I85" s="56">
        <v>0.7</v>
      </c>
      <c r="J85" s="56">
        <v>0.6</v>
      </c>
      <c r="K85" s="617">
        <v>0</v>
      </c>
      <c r="L85" s="617"/>
      <c r="M85" s="617">
        <v>0</v>
      </c>
      <c r="N85" s="517"/>
      <c r="O85" s="517"/>
      <c r="P85" s="517"/>
      <c r="T85" s="300" t="s">
        <v>857</v>
      </c>
      <c r="U85" s="658" t="s">
        <v>1028</v>
      </c>
      <c r="V85" s="256">
        <v>0</v>
      </c>
      <c r="W85" s="657" t="s">
        <v>859</v>
      </c>
      <c r="X85" s="55">
        <v>86</v>
      </c>
      <c r="Y85" s="526"/>
      <c r="Z85" s="55">
        <v>2.2000000000000002</v>
      </c>
      <c r="AA85" s="56">
        <v>0.7</v>
      </c>
      <c r="AB85" s="56">
        <v>0.6</v>
      </c>
      <c r="AC85" s="657">
        <v>0</v>
      </c>
      <c r="AD85" s="657"/>
      <c r="AE85" s="657">
        <v>0</v>
      </c>
      <c r="AF85" s="517"/>
      <c r="AG85" s="517"/>
      <c r="AH85" s="517"/>
    </row>
    <row r="86" spans="1:35" ht="15" customHeight="1">
      <c r="B86" s="300" t="s">
        <v>880</v>
      </c>
      <c r="C86" s="616" t="s">
        <v>1029</v>
      </c>
      <c r="D86" s="256">
        <v>0</v>
      </c>
      <c r="E86" s="617" t="s">
        <v>861</v>
      </c>
      <c r="F86" s="55">
        <v>100</v>
      </c>
      <c r="G86" s="526"/>
      <c r="H86" s="55">
        <v>1.75</v>
      </c>
      <c r="I86" s="56">
        <v>0.76</v>
      </c>
      <c r="J86" s="56">
        <v>2.2999999999999998</v>
      </c>
      <c r="K86" s="617">
        <v>0</v>
      </c>
      <c r="L86" s="617"/>
      <c r="M86" s="617" t="s">
        <v>155</v>
      </c>
      <c r="N86" s="517"/>
      <c r="O86" s="517"/>
      <c r="P86" s="517"/>
      <c r="T86" s="300" t="s">
        <v>880</v>
      </c>
      <c r="U86" s="658" t="s">
        <v>1029</v>
      </c>
      <c r="V86" s="256">
        <v>0</v>
      </c>
      <c r="W86" s="657" t="s">
        <v>861</v>
      </c>
      <c r="X86" s="55">
        <v>100</v>
      </c>
      <c r="Y86" s="526"/>
      <c r="Z86" s="55">
        <v>1.75</v>
      </c>
      <c r="AA86" s="56">
        <v>0.76</v>
      </c>
      <c r="AB86" s="56">
        <v>2.2999999999999998</v>
      </c>
      <c r="AC86" s="657">
        <v>0</v>
      </c>
      <c r="AD86" s="657"/>
      <c r="AE86" s="657" t="s">
        <v>155</v>
      </c>
      <c r="AF86" s="517"/>
      <c r="AG86" s="517"/>
      <c r="AH86" s="517"/>
    </row>
    <row r="87" spans="1:35" ht="15" customHeight="1">
      <c r="B87" s="300" t="s">
        <v>858</v>
      </c>
      <c r="C87" s="616" t="s">
        <v>1030</v>
      </c>
      <c r="D87" s="256">
        <v>0</v>
      </c>
      <c r="E87" s="617" t="s">
        <v>859</v>
      </c>
      <c r="F87" s="55">
        <v>91</v>
      </c>
      <c r="G87" s="526"/>
      <c r="H87" s="55">
        <v>5.5</v>
      </c>
      <c r="I87" s="56">
        <v>1.46</v>
      </c>
      <c r="J87" s="56">
        <v>1.25</v>
      </c>
      <c r="K87" s="617">
        <v>0</v>
      </c>
      <c r="L87" s="617"/>
      <c r="M87" s="617">
        <v>0</v>
      </c>
      <c r="N87" s="517"/>
      <c r="O87" s="517"/>
      <c r="P87" s="517"/>
      <c r="T87" s="300" t="s">
        <v>858</v>
      </c>
      <c r="U87" s="658" t="s">
        <v>1030</v>
      </c>
      <c r="V87" s="256">
        <v>0</v>
      </c>
      <c r="W87" s="657" t="s">
        <v>859</v>
      </c>
      <c r="X87" s="55">
        <v>91</v>
      </c>
      <c r="Y87" s="526"/>
      <c r="Z87" s="55">
        <v>5.5</v>
      </c>
      <c r="AA87" s="56">
        <v>1.46</v>
      </c>
      <c r="AB87" s="56">
        <v>1.25</v>
      </c>
      <c r="AC87" s="657">
        <v>0</v>
      </c>
      <c r="AD87" s="657"/>
      <c r="AE87" s="657">
        <v>0</v>
      </c>
      <c r="AF87" s="517"/>
      <c r="AG87" s="517"/>
      <c r="AH87" s="517"/>
    </row>
    <row r="88" spans="1:35" ht="15" customHeight="1">
      <c r="B88" s="300" t="s">
        <v>881</v>
      </c>
      <c r="C88" s="616" t="s">
        <v>1031</v>
      </c>
      <c r="D88" s="256">
        <v>0</v>
      </c>
      <c r="E88" s="617" t="s">
        <v>861</v>
      </c>
      <c r="F88" s="55">
        <v>100</v>
      </c>
      <c r="G88" s="526"/>
      <c r="H88" s="55">
        <v>1.75</v>
      </c>
      <c r="I88" s="56">
        <v>0.76</v>
      </c>
      <c r="J88" s="56">
        <v>2.2999999999999998</v>
      </c>
      <c r="K88" s="617">
        <v>3.25</v>
      </c>
      <c r="L88" s="617"/>
      <c r="M88" s="617" t="s">
        <v>155</v>
      </c>
      <c r="N88" s="517"/>
      <c r="O88" s="517"/>
      <c r="P88" s="517"/>
      <c r="T88" s="300" t="s">
        <v>881</v>
      </c>
      <c r="U88" s="658" t="s">
        <v>1031</v>
      </c>
      <c r="V88" s="256">
        <v>0</v>
      </c>
      <c r="W88" s="657" t="s">
        <v>861</v>
      </c>
      <c r="X88" s="55">
        <v>100</v>
      </c>
      <c r="Y88" s="526"/>
      <c r="Z88" s="55">
        <v>1.75</v>
      </c>
      <c r="AA88" s="56">
        <v>0.76</v>
      </c>
      <c r="AB88" s="56">
        <v>2.2999999999999998</v>
      </c>
      <c r="AC88" s="657">
        <v>3.25</v>
      </c>
      <c r="AD88" s="657"/>
      <c r="AE88" s="657" t="s">
        <v>155</v>
      </c>
      <c r="AF88" s="517"/>
      <c r="AG88" s="517"/>
      <c r="AH88" s="517"/>
    </row>
    <row r="89" spans="1:35" s="580" customFormat="1" ht="15" customHeight="1">
      <c r="A89" s="574" t="s">
        <v>283</v>
      </c>
      <c r="B89" s="575" t="s">
        <v>984</v>
      </c>
      <c r="C89" s="568" t="s">
        <v>1023</v>
      </c>
      <c r="D89" s="576">
        <v>0</v>
      </c>
      <c r="E89" s="571" t="s">
        <v>10</v>
      </c>
      <c r="F89" s="569">
        <v>100</v>
      </c>
      <c r="G89" s="577"/>
      <c r="H89" s="578">
        <v>2.86</v>
      </c>
      <c r="I89" s="578">
        <v>0.86</v>
      </c>
      <c r="J89" s="578">
        <v>3</v>
      </c>
      <c r="K89" s="576">
        <v>3.25</v>
      </c>
      <c r="L89" s="576"/>
      <c r="M89" s="576" t="s">
        <v>155</v>
      </c>
      <c r="N89" s="579"/>
      <c r="O89" s="579"/>
      <c r="P89" s="579"/>
      <c r="T89" s="575" t="s">
        <v>984</v>
      </c>
      <c r="U89" s="568" t="s">
        <v>1023</v>
      </c>
      <c r="V89" s="576">
        <v>0</v>
      </c>
      <c r="W89" s="571" t="s">
        <v>10</v>
      </c>
      <c r="X89" s="569">
        <v>100</v>
      </c>
      <c r="Y89" s="577"/>
      <c r="Z89" s="578">
        <v>2.86</v>
      </c>
      <c r="AA89" s="578">
        <v>0.86</v>
      </c>
      <c r="AB89" s="578">
        <v>3</v>
      </c>
      <c r="AC89" s="576">
        <v>3.25</v>
      </c>
      <c r="AD89" s="576"/>
      <c r="AE89" s="576" t="s">
        <v>155</v>
      </c>
      <c r="AF89" s="579"/>
      <c r="AG89" s="579"/>
      <c r="AH89" s="579"/>
    </row>
    <row r="90" spans="1:35" s="580" customFormat="1" ht="15" customHeight="1">
      <c r="A90" s="574"/>
      <c r="B90" s="575" t="s">
        <v>985</v>
      </c>
      <c r="C90" s="568" t="s">
        <v>1023</v>
      </c>
      <c r="D90" s="576">
        <v>0</v>
      </c>
      <c r="E90" s="571" t="s">
        <v>10</v>
      </c>
      <c r="F90" s="569">
        <v>100</v>
      </c>
      <c r="G90" s="577"/>
      <c r="H90" s="578">
        <v>2.86</v>
      </c>
      <c r="I90" s="578">
        <v>0.86</v>
      </c>
      <c r="J90" s="578">
        <v>3</v>
      </c>
      <c r="K90" s="576">
        <v>3.25</v>
      </c>
      <c r="L90" s="576"/>
      <c r="M90" s="576" t="s">
        <v>155</v>
      </c>
      <c r="N90" s="579"/>
      <c r="O90" s="579"/>
      <c r="P90" s="579"/>
      <c r="T90" s="575" t="s">
        <v>985</v>
      </c>
      <c r="U90" s="568" t="s">
        <v>1023</v>
      </c>
      <c r="V90" s="576">
        <v>0</v>
      </c>
      <c r="W90" s="571" t="s">
        <v>10</v>
      </c>
      <c r="X90" s="569">
        <v>100</v>
      </c>
      <c r="Y90" s="577"/>
      <c r="Z90" s="578">
        <v>2.86</v>
      </c>
      <c r="AA90" s="578">
        <v>0.86</v>
      </c>
      <c r="AB90" s="578">
        <v>3</v>
      </c>
      <c r="AC90" s="576">
        <v>3.25</v>
      </c>
      <c r="AD90" s="576"/>
      <c r="AE90" s="576" t="s">
        <v>155</v>
      </c>
      <c r="AF90" s="579"/>
      <c r="AG90" s="579"/>
      <c r="AH90" s="579"/>
    </row>
    <row r="91" spans="1:35" s="580" customFormat="1" ht="15" customHeight="1">
      <c r="A91" s="574"/>
      <c r="B91" s="575" t="s">
        <v>986</v>
      </c>
      <c r="C91" s="568" t="s">
        <v>1023</v>
      </c>
      <c r="D91" s="576">
        <v>0</v>
      </c>
      <c r="E91" s="571" t="s">
        <v>10</v>
      </c>
      <c r="F91" s="569">
        <v>100</v>
      </c>
      <c r="G91" s="577"/>
      <c r="H91" s="578">
        <v>2.86</v>
      </c>
      <c r="I91" s="578">
        <v>0.86</v>
      </c>
      <c r="J91" s="578">
        <v>3</v>
      </c>
      <c r="K91" s="576">
        <v>3.25</v>
      </c>
      <c r="L91" s="576"/>
      <c r="M91" s="576" t="s">
        <v>155</v>
      </c>
      <c r="N91" s="579"/>
      <c r="O91" s="579"/>
      <c r="P91" s="579"/>
      <c r="T91" s="575" t="s">
        <v>986</v>
      </c>
      <c r="U91" s="568" t="s">
        <v>1023</v>
      </c>
      <c r="V91" s="576">
        <v>0</v>
      </c>
      <c r="W91" s="571" t="s">
        <v>10</v>
      </c>
      <c r="X91" s="569">
        <v>100</v>
      </c>
      <c r="Y91" s="577"/>
      <c r="Z91" s="578">
        <v>2.86</v>
      </c>
      <c r="AA91" s="578">
        <v>0.86</v>
      </c>
      <c r="AB91" s="578">
        <v>3</v>
      </c>
      <c r="AC91" s="576">
        <v>3.25</v>
      </c>
      <c r="AD91" s="576"/>
      <c r="AE91" s="576" t="s">
        <v>155</v>
      </c>
      <c r="AF91" s="579"/>
      <c r="AG91" s="579"/>
      <c r="AH91" s="579"/>
    </row>
    <row r="92" spans="1:35" ht="15" customHeight="1">
      <c r="B92" s="61" t="s">
        <v>110</v>
      </c>
      <c r="C92" s="259" t="s">
        <v>1032</v>
      </c>
      <c r="D92" s="484">
        <v>0</v>
      </c>
      <c r="E92" s="112">
        <v>0</v>
      </c>
      <c r="F92" s="112">
        <v>0</v>
      </c>
      <c r="G92" s="484"/>
      <c r="H92" s="112">
        <v>0</v>
      </c>
      <c r="I92" s="112">
        <v>0</v>
      </c>
      <c r="J92" s="112">
        <v>0</v>
      </c>
      <c r="K92" s="112">
        <v>0</v>
      </c>
      <c r="L92" s="112"/>
      <c r="M92" s="112">
        <v>0</v>
      </c>
      <c r="N92" s="25"/>
      <c r="O92" s="298"/>
      <c r="P92" s="298"/>
      <c r="Q92" s="59"/>
      <c r="T92" s="61" t="s">
        <v>110</v>
      </c>
      <c r="U92" s="658" t="s">
        <v>1032</v>
      </c>
      <c r="V92" s="484">
        <v>0</v>
      </c>
      <c r="W92" s="657">
        <v>0</v>
      </c>
      <c r="X92" s="657">
        <v>0</v>
      </c>
      <c r="Y92" s="484"/>
      <c r="Z92" s="657">
        <v>0</v>
      </c>
      <c r="AA92" s="657">
        <v>0</v>
      </c>
      <c r="AB92" s="657">
        <v>0</v>
      </c>
      <c r="AC92" s="657">
        <v>0</v>
      </c>
      <c r="AD92" s="657"/>
      <c r="AE92" s="657">
        <v>0</v>
      </c>
      <c r="AF92" s="517"/>
      <c r="AG92" s="517"/>
      <c r="AH92" s="517"/>
      <c r="AI92" s="59"/>
    </row>
    <row r="93" spans="1:35" ht="15" customHeight="1">
      <c r="B93" s="61" t="s">
        <v>110</v>
      </c>
      <c r="C93" s="259" t="s">
        <v>1032</v>
      </c>
      <c r="D93" s="484">
        <v>0</v>
      </c>
      <c r="E93" s="112">
        <v>0</v>
      </c>
      <c r="F93" s="112">
        <v>0</v>
      </c>
      <c r="G93" s="484"/>
      <c r="H93" s="112">
        <v>0</v>
      </c>
      <c r="I93" s="112">
        <v>0</v>
      </c>
      <c r="J93" s="112">
        <v>0</v>
      </c>
      <c r="K93" s="112">
        <v>0</v>
      </c>
      <c r="L93" s="112"/>
      <c r="M93" s="112">
        <v>0</v>
      </c>
      <c r="N93" s="25"/>
      <c r="O93" s="298"/>
      <c r="P93" s="298"/>
      <c r="T93" s="61" t="s">
        <v>110</v>
      </c>
      <c r="U93" s="658" t="s">
        <v>1032</v>
      </c>
      <c r="V93" s="484">
        <v>0</v>
      </c>
      <c r="W93" s="657">
        <v>0</v>
      </c>
      <c r="X93" s="657">
        <v>0</v>
      </c>
      <c r="Y93" s="484"/>
      <c r="Z93" s="657">
        <v>0</v>
      </c>
      <c r="AA93" s="657">
        <v>0</v>
      </c>
      <c r="AB93" s="657">
        <v>0</v>
      </c>
      <c r="AC93" s="657">
        <v>0</v>
      </c>
      <c r="AD93" s="657"/>
      <c r="AE93" s="657">
        <v>0</v>
      </c>
      <c r="AF93" s="517"/>
      <c r="AG93" s="517"/>
      <c r="AH93" s="517"/>
    </row>
    <row r="94" spans="1:35" ht="15" customHeight="1">
      <c r="B94" s="61" t="s">
        <v>110</v>
      </c>
      <c r="C94" s="259" t="s">
        <v>1032</v>
      </c>
      <c r="D94" s="484">
        <v>0</v>
      </c>
      <c r="E94" s="112">
        <v>0</v>
      </c>
      <c r="F94" s="112">
        <v>0</v>
      </c>
      <c r="G94" s="484"/>
      <c r="H94" s="112">
        <v>0</v>
      </c>
      <c r="I94" s="112">
        <v>0</v>
      </c>
      <c r="J94" s="112">
        <v>0</v>
      </c>
      <c r="K94" s="112">
        <v>0</v>
      </c>
      <c r="L94" s="112"/>
      <c r="M94" s="112">
        <v>0</v>
      </c>
      <c r="N94" s="25"/>
      <c r="O94" s="298"/>
      <c r="P94" s="298"/>
      <c r="R94" s="59"/>
      <c r="T94" s="61" t="s">
        <v>110</v>
      </c>
      <c r="U94" s="658" t="s">
        <v>1032</v>
      </c>
      <c r="V94" s="484">
        <v>0</v>
      </c>
      <c r="W94" s="657">
        <v>0</v>
      </c>
      <c r="X94" s="657">
        <v>0</v>
      </c>
      <c r="Y94" s="484"/>
      <c r="Z94" s="657">
        <v>0</v>
      </c>
      <c r="AA94" s="657">
        <v>0</v>
      </c>
      <c r="AB94" s="657">
        <v>0</v>
      </c>
      <c r="AC94" s="657">
        <v>0</v>
      </c>
      <c r="AD94" s="657"/>
      <c r="AE94" s="657">
        <v>0</v>
      </c>
      <c r="AF94" s="517"/>
      <c r="AG94" s="517"/>
      <c r="AH94" s="517"/>
    </row>
    <row r="95" spans="1:35" ht="15" customHeight="1">
      <c r="B95" s="60" t="s">
        <v>110</v>
      </c>
      <c r="C95" s="259" t="s">
        <v>1032</v>
      </c>
      <c r="D95" s="484">
        <v>0</v>
      </c>
      <c r="E95" s="112">
        <v>0</v>
      </c>
      <c r="F95" s="112">
        <v>0</v>
      </c>
      <c r="G95" s="484"/>
      <c r="H95" s="112">
        <v>0</v>
      </c>
      <c r="I95" s="112">
        <v>0</v>
      </c>
      <c r="J95" s="112">
        <v>0</v>
      </c>
      <c r="K95" s="112">
        <v>0</v>
      </c>
      <c r="L95" s="112"/>
      <c r="M95" s="112">
        <v>0</v>
      </c>
      <c r="N95" s="25"/>
      <c r="O95" s="298"/>
      <c r="P95" s="298"/>
      <c r="R95" s="59"/>
      <c r="T95" s="60" t="s">
        <v>110</v>
      </c>
      <c r="U95" s="658" t="s">
        <v>1032</v>
      </c>
      <c r="V95" s="484">
        <v>0</v>
      </c>
      <c r="W95" s="657">
        <v>0</v>
      </c>
      <c r="X95" s="657">
        <v>0</v>
      </c>
      <c r="Y95" s="484"/>
      <c r="Z95" s="657">
        <v>0</v>
      </c>
      <c r="AA95" s="657">
        <v>0</v>
      </c>
      <c r="AB95" s="657">
        <v>0</v>
      </c>
      <c r="AC95" s="657">
        <v>0</v>
      </c>
      <c r="AD95" s="657"/>
      <c r="AE95" s="657">
        <v>0</v>
      </c>
      <c r="AF95" s="517"/>
      <c r="AG95" s="517"/>
      <c r="AH95" s="517"/>
    </row>
    <row r="96" spans="1:35" ht="15" customHeight="1">
      <c r="N96" s="25"/>
      <c r="O96" s="298"/>
      <c r="P96" s="298"/>
      <c r="V96" s="19"/>
      <c r="Y96" s="19"/>
      <c r="Z96" s="19"/>
      <c r="AF96" s="517"/>
      <c r="AG96" s="517"/>
      <c r="AH96" s="517"/>
    </row>
    <row r="97" spans="2:34" ht="6.75" customHeight="1">
      <c r="C97" s="19"/>
      <c r="G97" s="52"/>
      <c r="H97" s="52"/>
      <c r="J97" s="25"/>
      <c r="N97" s="25"/>
      <c r="O97" s="298"/>
      <c r="P97" s="298"/>
      <c r="U97" s="19"/>
      <c r="V97" s="19"/>
      <c r="AB97" s="517"/>
      <c r="AF97" s="517"/>
      <c r="AG97" s="517"/>
      <c r="AH97" s="517"/>
    </row>
    <row r="98" spans="2:34" ht="31.5" customHeight="1">
      <c r="B98" s="630" t="s">
        <v>862</v>
      </c>
      <c r="C98" s="294"/>
      <c r="D98" s="294"/>
      <c r="G98" s="52"/>
      <c r="H98" s="52"/>
      <c r="J98" s="25"/>
      <c r="N98" s="25"/>
      <c r="O98" s="298"/>
      <c r="P98" s="298"/>
      <c r="T98" s="1531" t="s">
        <v>300</v>
      </c>
      <c r="U98" s="1531"/>
      <c r="V98" s="1531"/>
      <c r="AB98" s="517"/>
      <c r="AF98" s="517"/>
      <c r="AG98" s="517"/>
      <c r="AH98" s="517"/>
    </row>
    <row r="99" spans="2:34" ht="15.75" customHeight="1">
      <c r="B99" s="630" t="s">
        <v>607</v>
      </c>
      <c r="C99" s="589"/>
      <c r="D99" s="589"/>
      <c r="G99" s="52"/>
      <c r="H99" s="52"/>
      <c r="J99" s="25"/>
      <c r="N99" s="25"/>
      <c r="O99" s="298"/>
      <c r="P99" s="298"/>
      <c r="T99" s="514" t="s">
        <v>152</v>
      </c>
      <c r="U99" s="1532" t="s">
        <v>298</v>
      </c>
      <c r="V99" s="1532"/>
      <c r="AB99" s="517"/>
      <c r="AF99" s="517"/>
      <c r="AG99" s="517"/>
      <c r="AH99" s="517"/>
    </row>
    <row r="100" spans="2:34" ht="15.75" customHeight="1">
      <c r="B100" s="630" t="s">
        <v>608</v>
      </c>
      <c r="C100" s="1523"/>
      <c r="D100" s="1523"/>
      <c r="E100" s="108"/>
      <c r="G100" s="52"/>
      <c r="H100" s="52"/>
      <c r="J100" s="25"/>
      <c r="N100" s="25"/>
      <c r="O100" s="298"/>
      <c r="P100" s="298"/>
      <c r="T100" s="514" t="s">
        <v>153</v>
      </c>
      <c r="U100" s="1532" t="s">
        <v>299</v>
      </c>
      <c r="V100" s="1532"/>
      <c r="W100" s="108"/>
      <c r="AB100" s="517"/>
      <c r="AF100" s="517"/>
      <c r="AG100" s="517"/>
      <c r="AH100" s="517"/>
    </row>
    <row r="101" spans="2:34" ht="15" customHeight="1">
      <c r="B101" s="19"/>
      <c r="C101" s="294"/>
      <c r="D101" s="107"/>
      <c r="E101" s="107"/>
      <c r="G101" s="52"/>
      <c r="H101" s="52"/>
      <c r="J101" s="25"/>
      <c r="N101" s="25"/>
      <c r="O101" s="298"/>
      <c r="P101" s="298"/>
    </row>
    <row r="102" spans="2:34" ht="15" customHeight="1">
      <c r="B102" s="586" t="s">
        <v>602</v>
      </c>
      <c r="C102" s="546" t="s">
        <v>102</v>
      </c>
      <c r="D102" s="546" t="s">
        <v>601</v>
      </c>
      <c r="E102" s="590" t="s">
        <v>606</v>
      </c>
      <c r="F102" s="546" t="s">
        <v>603</v>
      </c>
      <c r="G102" s="52"/>
      <c r="H102" s="52"/>
      <c r="J102" s="25"/>
      <c r="N102" s="25"/>
      <c r="O102" s="298"/>
      <c r="P102" s="298"/>
    </row>
    <row r="103" spans="2:34" ht="15" customHeight="1">
      <c r="C103" s="587">
        <f>D103*6.25</f>
        <v>20</v>
      </c>
      <c r="D103" s="587">
        <v>3.2</v>
      </c>
      <c r="E103" s="591">
        <v>0.96</v>
      </c>
      <c r="F103" s="588">
        <v>3</v>
      </c>
      <c r="G103" s="52"/>
      <c r="H103" s="52"/>
      <c r="J103" s="25"/>
      <c r="N103" s="25"/>
      <c r="O103" s="298"/>
      <c r="P103" s="298"/>
    </row>
    <row r="104" spans="2:34" ht="15" customHeight="1">
      <c r="B104" s="19"/>
      <c r="C104" s="587">
        <f>D104*6.25</f>
        <v>18.75</v>
      </c>
      <c r="D104" s="587">
        <v>3</v>
      </c>
      <c r="E104" s="591">
        <v>0.95</v>
      </c>
      <c r="F104" s="588">
        <v>3</v>
      </c>
      <c r="G104" s="52"/>
      <c r="H104" s="52"/>
      <c r="J104" s="25"/>
      <c r="N104" s="25"/>
      <c r="O104" s="298"/>
      <c r="P104" s="298"/>
    </row>
    <row r="105" spans="2:34" ht="15" customHeight="1">
      <c r="B105" s="19"/>
      <c r="C105" s="587">
        <f t="shared" ref="C105:C108" si="2">D105*6.25</f>
        <v>15.625</v>
      </c>
      <c r="D105" s="587">
        <v>2.5</v>
      </c>
      <c r="E105" s="591">
        <v>0.9</v>
      </c>
      <c r="F105" s="588">
        <v>2.8</v>
      </c>
      <c r="G105" s="52"/>
      <c r="H105" s="52"/>
      <c r="J105" s="25"/>
      <c r="N105" s="25"/>
      <c r="O105" s="298"/>
      <c r="P105" s="298"/>
    </row>
    <row r="106" spans="2:34" ht="15" customHeight="1">
      <c r="B106" s="19"/>
      <c r="C106" s="587">
        <f t="shared" si="2"/>
        <v>12.5</v>
      </c>
      <c r="D106" s="587">
        <v>2</v>
      </c>
      <c r="E106" s="591">
        <v>0.82</v>
      </c>
      <c r="F106" s="588">
        <v>2.5</v>
      </c>
      <c r="G106" s="52"/>
      <c r="H106" s="52"/>
      <c r="J106" s="25"/>
      <c r="N106" s="25"/>
      <c r="O106" s="298"/>
      <c r="P106" s="298"/>
    </row>
    <row r="107" spans="2:34" ht="15" customHeight="1">
      <c r="B107" s="19"/>
      <c r="C107" s="587">
        <f t="shared" si="2"/>
        <v>9.375</v>
      </c>
      <c r="D107" s="587">
        <v>1.5</v>
      </c>
      <c r="E107" s="591">
        <v>0.71</v>
      </c>
      <c r="F107" s="588">
        <v>2.1</v>
      </c>
      <c r="G107" s="52"/>
      <c r="H107" s="52"/>
      <c r="J107" s="25"/>
    </row>
    <row r="108" spans="2:34" ht="15" customHeight="1">
      <c r="B108" s="19"/>
      <c r="C108" s="587">
        <f t="shared" si="2"/>
        <v>6.25</v>
      </c>
      <c r="D108" s="587">
        <v>1</v>
      </c>
      <c r="E108" s="591">
        <v>0.56999999999999995</v>
      </c>
      <c r="F108" s="588">
        <v>1.6</v>
      </c>
      <c r="G108" s="52"/>
      <c r="H108" s="52"/>
    </row>
    <row r="109" spans="2:34" ht="15" customHeight="1">
      <c r="B109" s="19"/>
      <c r="C109" s="587"/>
      <c r="D109" s="587"/>
      <c r="E109" s="587"/>
      <c r="F109" s="587"/>
      <c r="G109" s="52"/>
      <c r="H109" s="52"/>
    </row>
    <row r="110" spans="2:34" ht="15" customHeight="1">
      <c r="B110" s="19"/>
      <c r="C110" s="587"/>
      <c r="D110" s="587"/>
      <c r="E110" s="587"/>
      <c r="F110" s="587"/>
      <c r="G110" s="52"/>
      <c r="H110" s="52"/>
    </row>
    <row r="111" spans="2:34" ht="15" customHeight="1">
      <c r="B111" s="19"/>
      <c r="C111" s="587"/>
      <c r="D111" s="587"/>
      <c r="E111" s="587"/>
      <c r="F111" s="587"/>
      <c r="G111" s="52"/>
      <c r="H111" s="52"/>
    </row>
    <row r="112" spans="2:34" ht="15" customHeight="1">
      <c r="B112" s="19"/>
      <c r="C112" s="587"/>
      <c r="D112" s="587"/>
      <c r="E112" s="587"/>
      <c r="F112" s="587"/>
      <c r="G112" s="52"/>
      <c r="H112" s="52"/>
    </row>
    <row r="113" spans="2:8" ht="15" customHeight="1">
      <c r="B113" s="19"/>
      <c r="C113" s="587"/>
      <c r="D113" s="587"/>
      <c r="E113" s="587"/>
      <c r="F113" s="587"/>
      <c r="G113" s="52"/>
      <c r="H113" s="52"/>
    </row>
    <row r="114" spans="2:8" ht="15" customHeight="1">
      <c r="B114" s="19"/>
      <c r="C114" s="587"/>
      <c r="D114" s="587"/>
      <c r="E114" s="587"/>
      <c r="F114" s="587"/>
      <c r="G114" s="52"/>
      <c r="H114" s="52"/>
    </row>
    <row r="115" spans="2:8" ht="15" customHeight="1">
      <c r="B115" s="19"/>
      <c r="D115" s="52"/>
      <c r="G115" s="52"/>
      <c r="H115" s="52"/>
    </row>
    <row r="116" spans="2:8" ht="15" customHeight="1">
      <c r="B116" s="19"/>
      <c r="D116" s="52"/>
      <c r="G116" s="52"/>
      <c r="H116" s="52"/>
    </row>
    <row r="117" spans="2:8" ht="15" customHeight="1">
      <c r="B117" s="19"/>
      <c r="D117" s="52"/>
      <c r="G117" s="52"/>
      <c r="H117" s="52"/>
    </row>
    <row r="118" spans="2:8" ht="15" customHeight="1">
      <c r="B118" s="19"/>
      <c r="D118" s="52"/>
      <c r="G118" s="52"/>
      <c r="H118" s="52"/>
    </row>
    <row r="119" spans="2:8" ht="15" customHeight="1">
      <c r="B119" s="19"/>
      <c r="D119" s="52"/>
      <c r="G119" s="52"/>
      <c r="H119" s="52"/>
    </row>
    <row r="120" spans="2:8" ht="15" customHeight="1">
      <c r="B120" s="19"/>
      <c r="D120" s="52"/>
      <c r="G120" s="52"/>
      <c r="H120" s="52"/>
    </row>
    <row r="121" spans="2:8" ht="15" customHeight="1">
      <c r="B121" s="19"/>
      <c r="D121" s="52"/>
      <c r="G121" s="52"/>
      <c r="H121" s="52"/>
    </row>
    <row r="122" spans="2:8" ht="15" customHeight="1">
      <c r="B122" s="19"/>
      <c r="D122" s="52"/>
      <c r="G122" s="52"/>
      <c r="H122" s="52"/>
    </row>
    <row r="123" spans="2:8" ht="15" customHeight="1">
      <c r="B123" s="19"/>
      <c r="D123" s="52"/>
      <c r="G123" s="52"/>
      <c r="H123" s="52"/>
    </row>
    <row r="124" spans="2:8" ht="15" customHeight="1">
      <c r="B124" s="19"/>
      <c r="D124" s="52"/>
      <c r="G124" s="52"/>
      <c r="H124" s="52"/>
    </row>
    <row r="125" spans="2:8" ht="15" customHeight="1">
      <c r="F125" s="19"/>
      <c r="G125" s="52"/>
      <c r="H125" s="52"/>
    </row>
    <row r="126" spans="2:8" ht="15" customHeight="1">
      <c r="F126" s="19"/>
      <c r="G126" s="52"/>
      <c r="H126" s="52"/>
    </row>
    <row r="127" spans="2:8" ht="15" customHeight="1">
      <c r="F127" s="19"/>
      <c r="G127" s="52"/>
      <c r="H127" s="52"/>
    </row>
    <row r="128" spans="2:8" ht="15" customHeight="1">
      <c r="F128" s="19"/>
      <c r="G128" s="52"/>
      <c r="H128" s="52"/>
    </row>
    <row r="129" spans="6:8" ht="15" customHeight="1">
      <c r="F129" s="19"/>
      <c r="G129" s="52"/>
      <c r="H129" s="52"/>
    </row>
    <row r="130" spans="6:8" ht="15" customHeight="1"/>
    <row r="131" spans="6:8" ht="15" customHeight="1"/>
    <row r="132" spans="6:8" ht="15" customHeight="1"/>
    <row r="133" spans="6:8" ht="15" customHeight="1"/>
    <row r="134" spans="6:8" ht="15" customHeight="1"/>
    <row r="135" spans="6:8" ht="15" customHeight="1"/>
    <row r="136" spans="6:8" ht="15" customHeight="1"/>
    <row r="137" spans="6:8" ht="15" customHeight="1"/>
    <row r="138" spans="6:8" ht="15" customHeight="1"/>
    <row r="139" spans="6:8" ht="15" customHeight="1"/>
    <row r="140" spans="6:8" ht="15" customHeight="1"/>
    <row r="141" spans="6:8" ht="15" customHeight="1"/>
    <row r="142" spans="6:8" ht="15" customHeight="1"/>
    <row r="143" spans="6:8" ht="15" customHeight="1"/>
    <row r="144" spans="6:8"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spans="15:19" ht="15" customHeight="1"/>
    <row r="178" spans="15:19" ht="15" customHeight="1"/>
    <row r="179" spans="15:19" ht="15" customHeight="1"/>
    <row r="180" spans="15:19" ht="15" customHeight="1"/>
    <row r="181" spans="15:19" ht="15" customHeight="1"/>
    <row r="182" spans="15:19" ht="15" customHeight="1"/>
    <row r="183" spans="15:19" ht="15" customHeight="1"/>
    <row r="184" spans="15:19" ht="15" customHeight="1"/>
    <row r="185" spans="15:19" ht="15" customHeight="1"/>
    <row r="186" spans="15:19" ht="15" customHeight="1"/>
    <row r="187" spans="15:19" ht="15" customHeight="1"/>
    <row r="188" spans="15:19" ht="15" customHeight="1"/>
    <row r="189" spans="15:19" ht="15" customHeight="1"/>
    <row r="190" spans="15:19" ht="15" customHeight="1">
      <c r="O190" s="637"/>
      <c r="P190" s="637"/>
      <c r="Q190" s="637"/>
      <c r="R190" s="637"/>
      <c r="S190" s="637"/>
    </row>
    <row r="191" spans="15:19" ht="15" customHeight="1">
      <c r="O191" s="637"/>
      <c r="P191" s="637"/>
      <c r="Q191" s="637"/>
      <c r="R191" s="637"/>
      <c r="S191" s="637"/>
    </row>
    <row r="192" spans="15:19" ht="15" customHeight="1">
      <c r="O192" s="637"/>
      <c r="P192" s="637"/>
      <c r="Q192" s="637"/>
      <c r="R192" s="637"/>
      <c r="S192" s="637"/>
    </row>
    <row r="193" spans="15:19" ht="15" customHeight="1">
      <c r="O193" s="637"/>
      <c r="P193" s="637"/>
      <c r="Q193" s="637"/>
      <c r="R193" s="637"/>
      <c r="S193" s="637"/>
    </row>
    <row r="194" spans="15:19" ht="15" customHeight="1">
      <c r="O194" s="637"/>
      <c r="P194" s="637"/>
      <c r="Q194" s="637"/>
      <c r="R194" s="638"/>
      <c r="S194" s="637"/>
    </row>
    <row r="195" spans="15:19" ht="15" customHeight="1">
      <c r="O195" s="637"/>
      <c r="P195" s="637"/>
      <c r="Q195" s="637"/>
      <c r="R195" s="637"/>
      <c r="S195" s="637"/>
    </row>
    <row r="196" spans="15:19" ht="15" customHeight="1">
      <c r="O196" s="637"/>
      <c r="P196" s="637"/>
      <c r="Q196" s="637"/>
      <c r="R196" s="637"/>
      <c r="S196" s="637"/>
    </row>
    <row r="197" spans="15:19" ht="15" customHeight="1">
      <c r="O197" s="637"/>
      <c r="P197" s="637"/>
      <c r="Q197" s="637"/>
      <c r="R197" s="637"/>
      <c r="S197" s="637"/>
    </row>
    <row r="198" spans="15:19" ht="15" customHeight="1">
      <c r="O198" s="637"/>
      <c r="P198" s="637"/>
      <c r="Q198" s="637"/>
      <c r="R198" s="637"/>
      <c r="S198" s="637"/>
    </row>
    <row r="199" spans="15:19" ht="15" customHeight="1">
      <c r="O199" s="637"/>
      <c r="P199" s="637"/>
      <c r="Q199" s="637"/>
      <c r="R199" s="637"/>
      <c r="S199" s="637"/>
    </row>
    <row r="200" spans="15:19" ht="15" customHeight="1">
      <c r="O200" s="637"/>
      <c r="P200" s="637"/>
      <c r="Q200" s="637"/>
      <c r="R200" s="637"/>
      <c r="S200" s="637"/>
    </row>
    <row r="201" spans="15:19" ht="15" customHeight="1">
      <c r="O201" s="637"/>
      <c r="P201" s="637"/>
      <c r="Q201" s="637"/>
      <c r="R201" s="89"/>
      <c r="S201" s="637"/>
    </row>
    <row r="202" spans="15:19" ht="15" customHeight="1">
      <c r="O202" s="637"/>
      <c r="P202" s="637"/>
      <c r="Q202" s="637"/>
      <c r="R202" s="639"/>
      <c r="S202" s="637"/>
    </row>
    <row r="203" spans="15:19" ht="15" customHeight="1">
      <c r="O203" s="637"/>
      <c r="P203" s="637"/>
      <c r="Q203" s="637"/>
      <c r="R203" s="640"/>
      <c r="S203" s="637"/>
    </row>
    <row r="204" spans="15:19" ht="15" customHeight="1">
      <c r="O204" s="637"/>
      <c r="P204" s="637"/>
      <c r="Q204" s="637"/>
      <c r="R204" s="641"/>
      <c r="S204" s="637"/>
    </row>
    <row r="205" spans="15:19" ht="15" customHeight="1">
      <c r="O205" s="637"/>
      <c r="P205" s="637"/>
      <c r="Q205" s="637"/>
      <c r="R205" s="641"/>
      <c r="S205" s="637"/>
    </row>
    <row r="206" spans="15:19" ht="15" customHeight="1">
      <c r="O206" s="637"/>
      <c r="P206" s="637"/>
      <c r="Q206" s="637"/>
      <c r="R206" s="123"/>
      <c r="S206" s="637"/>
    </row>
    <row r="207" spans="15:19" ht="15" customHeight="1">
      <c r="O207" s="637"/>
      <c r="P207" s="637"/>
      <c r="Q207" s="637"/>
      <c r="R207" s="123"/>
      <c r="S207" s="637"/>
    </row>
    <row r="208" spans="15:19" ht="15" customHeight="1">
      <c r="O208" s="637"/>
      <c r="P208" s="637"/>
      <c r="Q208" s="637"/>
      <c r="R208" s="123"/>
      <c r="S208" s="637"/>
    </row>
    <row r="209" spans="15:19" ht="15" customHeight="1">
      <c r="O209" s="637"/>
      <c r="P209" s="637"/>
      <c r="Q209" s="637"/>
      <c r="R209" s="123"/>
      <c r="S209" s="637"/>
    </row>
    <row r="210" spans="15:19" ht="15" customHeight="1">
      <c r="O210" s="637"/>
      <c r="P210" s="637"/>
      <c r="Q210" s="637"/>
      <c r="R210" s="123"/>
      <c r="S210" s="637"/>
    </row>
    <row r="211" spans="15:19" ht="15" customHeight="1">
      <c r="O211" s="637"/>
      <c r="P211" s="637"/>
      <c r="Q211" s="637"/>
      <c r="R211" s="123"/>
      <c r="S211" s="637"/>
    </row>
    <row r="212" spans="15:19" ht="15" customHeight="1">
      <c r="O212" s="637"/>
      <c r="P212" s="637"/>
      <c r="Q212" s="637"/>
      <c r="R212" s="123"/>
      <c r="S212" s="637"/>
    </row>
    <row r="213" spans="15:19" ht="15" customHeight="1">
      <c r="O213" s="637"/>
      <c r="P213" s="637"/>
      <c r="Q213" s="637"/>
      <c r="R213" s="123"/>
      <c r="S213" s="637"/>
    </row>
    <row r="214" spans="15:19" ht="15" customHeight="1">
      <c r="O214" s="637"/>
      <c r="P214" s="637"/>
      <c r="Q214" s="637"/>
      <c r="R214" s="123"/>
      <c r="S214" s="637"/>
    </row>
    <row r="215" spans="15:19" ht="15" customHeight="1">
      <c r="O215" s="637"/>
      <c r="P215" s="637"/>
      <c r="Q215" s="637"/>
      <c r="R215" s="123"/>
      <c r="S215" s="637"/>
    </row>
    <row r="216" spans="15:19" ht="15" customHeight="1">
      <c r="O216" s="637"/>
      <c r="P216" s="637"/>
      <c r="Q216" s="637"/>
      <c r="R216" s="642"/>
      <c r="S216" s="637"/>
    </row>
    <row r="217" spans="15:19" ht="15" customHeight="1">
      <c r="O217" s="637"/>
      <c r="P217" s="637"/>
      <c r="Q217" s="637"/>
      <c r="R217" s="123"/>
      <c r="S217" s="637"/>
    </row>
    <row r="218" spans="15:19" ht="15" customHeight="1">
      <c r="O218" s="637"/>
      <c r="P218" s="637"/>
      <c r="Q218" s="637"/>
      <c r="R218" s="123"/>
      <c r="S218" s="637"/>
    </row>
    <row r="219" spans="15:19" ht="15" customHeight="1">
      <c r="O219" s="637"/>
      <c r="P219" s="637"/>
      <c r="Q219" s="637"/>
      <c r="R219" s="123"/>
      <c r="S219" s="637"/>
    </row>
    <row r="220" spans="15:19" ht="15" customHeight="1">
      <c r="O220" s="637"/>
      <c r="P220" s="637"/>
      <c r="Q220" s="637"/>
      <c r="R220" s="123"/>
      <c r="S220" s="637"/>
    </row>
    <row r="221" spans="15:19" ht="15" customHeight="1">
      <c r="O221" s="637"/>
      <c r="P221" s="637"/>
      <c r="Q221" s="637"/>
      <c r="R221" s="123"/>
      <c r="S221" s="637"/>
    </row>
    <row r="222" spans="15:19" ht="15" customHeight="1">
      <c r="O222" s="637"/>
      <c r="P222" s="637"/>
      <c r="Q222" s="637"/>
      <c r="R222" s="123"/>
      <c r="S222" s="637"/>
    </row>
    <row r="223" spans="15:19" ht="15" customHeight="1">
      <c r="O223" s="637"/>
      <c r="P223" s="637"/>
      <c r="Q223" s="637"/>
      <c r="R223" s="123"/>
      <c r="S223" s="637"/>
    </row>
    <row r="224" spans="15:19" ht="15" customHeight="1">
      <c r="O224" s="637"/>
      <c r="P224" s="637"/>
      <c r="Q224" s="637"/>
      <c r="R224" s="123"/>
      <c r="S224" s="637"/>
    </row>
    <row r="225" spans="15:19" ht="15" customHeight="1">
      <c r="O225" s="637"/>
      <c r="P225" s="637"/>
      <c r="Q225" s="637"/>
      <c r="R225" s="643"/>
      <c r="S225" s="637"/>
    </row>
    <row r="226" spans="15:19" ht="15" customHeight="1">
      <c r="O226" s="637"/>
      <c r="P226" s="637"/>
      <c r="Q226" s="637"/>
      <c r="R226" s="642"/>
      <c r="S226" s="637"/>
    </row>
    <row r="227" spans="15:19" ht="15" customHeight="1">
      <c r="O227" s="637"/>
      <c r="P227" s="637"/>
      <c r="Q227" s="637"/>
      <c r="R227" s="642"/>
      <c r="S227" s="637"/>
    </row>
    <row r="228" spans="15:19" ht="15" customHeight="1">
      <c r="O228" s="637"/>
      <c r="P228" s="637"/>
      <c r="Q228" s="637"/>
      <c r="R228" s="644"/>
      <c r="S228" s="637"/>
    </row>
    <row r="229" spans="15:19" ht="15" customHeight="1">
      <c r="O229" s="637"/>
      <c r="P229" s="637"/>
      <c r="Q229" s="637"/>
      <c r="R229" s="644"/>
      <c r="S229" s="637"/>
    </row>
    <row r="230" spans="15:19" ht="15" customHeight="1">
      <c r="O230" s="637"/>
      <c r="P230" s="637"/>
      <c r="Q230" s="637"/>
      <c r="R230" s="640"/>
      <c r="S230" s="637"/>
    </row>
    <row r="231" spans="15:19" ht="15" customHeight="1">
      <c r="O231" s="637"/>
      <c r="P231" s="637"/>
      <c r="Q231" s="637"/>
      <c r="R231" s="123"/>
      <c r="S231" s="637"/>
    </row>
    <row r="232" spans="15:19" ht="15" customHeight="1">
      <c r="O232" s="637"/>
      <c r="P232" s="637"/>
      <c r="Q232" s="637"/>
      <c r="R232" s="123"/>
      <c r="S232" s="637"/>
    </row>
    <row r="233" spans="15:19" ht="15" customHeight="1">
      <c r="O233" s="637"/>
      <c r="P233" s="637"/>
      <c r="Q233" s="637"/>
      <c r="R233" s="123"/>
      <c r="S233" s="637"/>
    </row>
    <row r="234" spans="15:19" ht="15" customHeight="1">
      <c r="O234" s="637"/>
      <c r="P234" s="637"/>
      <c r="Q234" s="637"/>
      <c r="R234" s="637"/>
      <c r="S234" s="637"/>
    </row>
    <row r="235" spans="15:19" ht="15" customHeight="1">
      <c r="O235" s="637"/>
      <c r="P235" s="637"/>
      <c r="Q235" s="637"/>
      <c r="R235" s="637"/>
      <c r="S235" s="637"/>
    </row>
    <row r="236" spans="15:19">
      <c r="O236" s="637"/>
      <c r="P236" s="637"/>
      <c r="Q236" s="637"/>
      <c r="R236" s="637"/>
      <c r="S236" s="637"/>
    </row>
  </sheetData>
  <mergeCells count="18">
    <mergeCell ref="Z70:AB70"/>
    <mergeCell ref="T98:V98"/>
    <mergeCell ref="U99:V99"/>
    <mergeCell ref="U100:V100"/>
    <mergeCell ref="AC70:AC71"/>
    <mergeCell ref="O2:Q2"/>
    <mergeCell ref="O3:Q3"/>
    <mergeCell ref="L3:M3"/>
    <mergeCell ref="Z2:AB2"/>
    <mergeCell ref="AF2:AH2"/>
    <mergeCell ref="AA3:AC3"/>
    <mergeCell ref="AD3:AE3"/>
    <mergeCell ref="AG3:AI3"/>
    <mergeCell ref="C100:D100"/>
    <mergeCell ref="I3:K3"/>
    <mergeCell ref="H70:J70"/>
    <mergeCell ref="I2:K2"/>
    <mergeCell ref="K70:K71"/>
  </mergeCells>
  <pageMargins left="0.7" right="0.7" top="0.75" bottom="0.75" header="0.3" footer="0.3"/>
  <pageSetup paperSize="9" scale="26"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N146"/>
  <sheetViews>
    <sheetView zoomScale="90" zoomScaleNormal="90" workbookViewId="0">
      <selection activeCell="P11" sqref="P11"/>
    </sheetView>
  </sheetViews>
  <sheetFormatPr baseColWidth="10" defaultRowHeight="15"/>
  <cols>
    <col min="2" max="2" width="66.140625" customWidth="1"/>
    <col min="3" max="3" width="13.85546875" customWidth="1"/>
    <col min="10" max="10" width="48" customWidth="1"/>
    <col min="11" max="11" width="13.28515625" customWidth="1"/>
  </cols>
  <sheetData>
    <row r="2" spans="2:14">
      <c r="B2" s="1089" t="s">
        <v>1266</v>
      </c>
      <c r="C2" s="1089"/>
      <c r="D2" s="1089"/>
      <c r="E2" s="1089"/>
      <c r="F2" s="1089"/>
      <c r="G2" s="1089"/>
      <c r="H2" s="1089"/>
      <c r="I2" s="1089"/>
      <c r="J2" s="1089"/>
      <c r="K2" s="1089"/>
      <c r="L2" s="1089"/>
      <c r="M2" s="1089"/>
      <c r="N2" s="1089"/>
    </row>
    <row r="3" spans="2:14">
      <c r="B3" s="1533" t="s">
        <v>1267</v>
      </c>
      <c r="C3" s="1533"/>
      <c r="D3" s="1533"/>
      <c r="E3" s="1533"/>
      <c r="F3" s="1533"/>
      <c r="G3" s="1533"/>
      <c r="H3" s="1533"/>
      <c r="I3" s="1533"/>
      <c r="J3" s="1533"/>
      <c r="K3" s="1533"/>
      <c r="L3" s="1533"/>
      <c r="M3" s="1533"/>
      <c r="N3" s="1533"/>
    </row>
    <row r="4" spans="2:14">
      <c r="B4" s="1533"/>
      <c r="C4" s="1533"/>
      <c r="D4" s="1533"/>
      <c r="E4" s="1533"/>
      <c r="F4" s="1533"/>
      <c r="G4" s="1533"/>
      <c r="H4" s="1533"/>
      <c r="I4" s="1533"/>
      <c r="J4" s="1533"/>
      <c r="K4" s="1533"/>
      <c r="L4" s="1533"/>
      <c r="M4" s="1533"/>
      <c r="N4" s="1533"/>
    </row>
    <row r="5" spans="2:14">
      <c r="B5" s="1533" t="s">
        <v>1268</v>
      </c>
      <c r="C5" s="1533"/>
      <c r="D5" s="1533"/>
      <c r="E5" s="1533"/>
      <c r="F5" s="1533"/>
      <c r="G5" s="1533"/>
      <c r="H5" s="1533"/>
      <c r="I5" s="1533"/>
      <c r="J5" s="1533"/>
      <c r="K5" s="1533"/>
      <c r="L5" s="1533"/>
      <c r="M5" s="1533"/>
      <c r="N5" s="1533"/>
    </row>
    <row r="6" spans="2:14" ht="15.75" thickBot="1">
      <c r="B6" s="1089"/>
      <c r="C6" s="1089"/>
      <c r="D6" s="1089"/>
      <c r="E6" s="1089"/>
      <c r="F6" s="1089"/>
      <c r="G6" s="1089"/>
      <c r="H6" s="1089"/>
      <c r="I6" s="1089"/>
      <c r="J6" s="1089"/>
      <c r="K6" s="1089"/>
      <c r="L6" s="1089"/>
      <c r="M6" s="1089"/>
      <c r="N6" s="1089"/>
    </row>
    <row r="7" spans="2:14" ht="47.25">
      <c r="B7" s="1534" t="s">
        <v>1269</v>
      </c>
      <c r="C7" s="1093" t="s">
        <v>766</v>
      </c>
      <c r="D7" s="1537" t="s">
        <v>1270</v>
      </c>
      <c r="E7" s="1538"/>
      <c r="F7" s="1539"/>
      <c r="G7" s="1540" t="s">
        <v>848</v>
      </c>
      <c r="H7" s="1541"/>
      <c r="I7" s="1089"/>
      <c r="J7" s="1542" t="s">
        <v>1271</v>
      </c>
      <c r="K7" s="1094" t="s">
        <v>1272</v>
      </c>
      <c r="L7" s="1545" t="s">
        <v>1270</v>
      </c>
      <c r="M7" s="1545"/>
      <c r="N7" s="1546"/>
    </row>
    <row r="8" spans="2:14" ht="16.5" thickBot="1">
      <c r="B8" s="1535"/>
      <c r="C8" s="1095" t="s">
        <v>555</v>
      </c>
      <c r="D8" s="1547" t="s">
        <v>132</v>
      </c>
      <c r="E8" s="1548"/>
      <c r="F8" s="1549"/>
      <c r="G8" s="1550" t="s">
        <v>849</v>
      </c>
      <c r="H8" s="1551"/>
      <c r="I8" s="1089"/>
      <c r="J8" s="1543"/>
      <c r="K8" s="1096" t="s">
        <v>555</v>
      </c>
      <c r="L8" s="1552" t="s">
        <v>132</v>
      </c>
      <c r="M8" s="1552"/>
      <c r="N8" s="1553"/>
    </row>
    <row r="9" spans="2:14" ht="19.5" thickBot="1">
      <c r="B9" s="1536"/>
      <c r="C9" s="1097" t="s">
        <v>767</v>
      </c>
      <c r="D9" s="609" t="s">
        <v>16</v>
      </c>
      <c r="E9" s="603" t="s">
        <v>768</v>
      </c>
      <c r="F9" s="605" t="s">
        <v>769</v>
      </c>
      <c r="G9" s="604" t="s">
        <v>768</v>
      </c>
      <c r="H9" s="605" t="s">
        <v>769</v>
      </c>
      <c r="I9" s="1089"/>
      <c r="J9" s="1544"/>
      <c r="K9" s="1098" t="s">
        <v>1273</v>
      </c>
      <c r="L9" s="1099" t="s">
        <v>16</v>
      </c>
      <c r="M9" s="927" t="s">
        <v>768</v>
      </c>
      <c r="N9" s="926" t="s">
        <v>769</v>
      </c>
    </row>
    <row r="10" spans="2:14" ht="15.75">
      <c r="B10" s="1100" t="s">
        <v>770</v>
      </c>
      <c r="C10" s="1101">
        <v>160</v>
      </c>
      <c r="D10" s="1102">
        <v>0.19</v>
      </c>
      <c r="E10" s="1103">
        <v>0.25</v>
      </c>
      <c r="F10" s="1104">
        <v>0.88</v>
      </c>
      <c r="G10" s="606"/>
      <c r="H10" s="600"/>
      <c r="I10" s="1089"/>
      <c r="J10" s="1105" t="s">
        <v>1274</v>
      </c>
      <c r="K10" s="1106">
        <v>50</v>
      </c>
      <c r="L10" s="1107">
        <v>0.5</v>
      </c>
      <c r="M10" s="1108">
        <v>0.23</v>
      </c>
      <c r="N10" s="1109">
        <v>0.74</v>
      </c>
    </row>
    <row r="11" spans="2:14" ht="15.75">
      <c r="B11" s="601" t="s">
        <v>1275</v>
      </c>
      <c r="C11" s="1110">
        <v>600</v>
      </c>
      <c r="D11" s="610">
        <v>0.28000000000000003</v>
      </c>
      <c r="E11" s="1111">
        <v>0.05</v>
      </c>
      <c r="F11" s="611">
        <v>0.3</v>
      </c>
      <c r="G11" s="607"/>
      <c r="H11" s="602"/>
      <c r="I11" s="1089"/>
      <c r="J11" s="1112" t="s">
        <v>1276</v>
      </c>
      <c r="K11" s="607">
        <v>300</v>
      </c>
      <c r="L11" s="1113">
        <v>0.5</v>
      </c>
      <c r="M11" s="608">
        <v>0.21</v>
      </c>
      <c r="N11" s="894">
        <v>0.76</v>
      </c>
    </row>
    <row r="12" spans="2:14" ht="15.75">
      <c r="B12" s="601" t="s">
        <v>1277</v>
      </c>
      <c r="C12" s="1110">
        <v>350</v>
      </c>
      <c r="D12" s="610">
        <v>0.28000000000000003</v>
      </c>
      <c r="E12" s="1111">
        <v>0.10309499999999999</v>
      </c>
      <c r="F12" s="611">
        <v>0.36119999999999997</v>
      </c>
      <c r="G12" s="607"/>
      <c r="H12" s="602"/>
      <c r="I12" s="1089"/>
      <c r="J12" s="1112" t="s">
        <v>1278</v>
      </c>
      <c r="K12" s="607">
        <v>130</v>
      </c>
      <c r="L12" s="1113">
        <v>0.28000000000000003</v>
      </c>
      <c r="M12" s="608">
        <v>7.0000000000000007E-2</v>
      </c>
      <c r="N12" s="894">
        <v>0.99</v>
      </c>
    </row>
    <row r="13" spans="2:14" ht="15.75">
      <c r="B13" s="601" t="s">
        <v>1279</v>
      </c>
      <c r="C13" s="1110">
        <v>150</v>
      </c>
      <c r="D13" s="610">
        <v>0.45</v>
      </c>
      <c r="E13" s="1111">
        <v>0.14891499999999999</v>
      </c>
      <c r="F13" s="611">
        <v>0.45751999999999998</v>
      </c>
      <c r="G13" s="607"/>
      <c r="H13" s="602"/>
      <c r="I13" s="1089"/>
      <c r="J13" s="1112" t="s">
        <v>1280</v>
      </c>
      <c r="K13" s="607">
        <v>610</v>
      </c>
      <c r="L13" s="1113">
        <v>0.5</v>
      </c>
      <c r="M13" s="608">
        <v>0.16</v>
      </c>
      <c r="N13" s="894">
        <v>0.8</v>
      </c>
    </row>
    <row r="14" spans="2:14" ht="15.75">
      <c r="B14" s="601" t="s">
        <v>771</v>
      </c>
      <c r="C14" s="1110">
        <v>120</v>
      </c>
      <c r="D14" s="610">
        <v>0.25</v>
      </c>
      <c r="E14" s="1111">
        <v>9.1639999999999999E-2</v>
      </c>
      <c r="F14" s="611">
        <v>0.30099999999999999</v>
      </c>
      <c r="G14" s="607"/>
      <c r="H14" s="602"/>
      <c r="I14" s="1089"/>
      <c r="J14" s="1112" t="s">
        <v>1281</v>
      </c>
      <c r="K14" s="607">
        <v>150</v>
      </c>
      <c r="L14" s="1113">
        <v>0.33</v>
      </c>
      <c r="M14" s="608">
        <v>0.11</v>
      </c>
      <c r="N14" s="894">
        <v>0.53</v>
      </c>
    </row>
    <row r="15" spans="2:14" ht="15.75">
      <c r="B15" s="601" t="s">
        <v>772</v>
      </c>
      <c r="C15" s="1110">
        <v>450</v>
      </c>
      <c r="D15" s="610">
        <v>0.25</v>
      </c>
      <c r="E15" s="1111">
        <v>0.12142299999999999</v>
      </c>
      <c r="F15" s="611">
        <v>0.54179999999999995</v>
      </c>
      <c r="G15" s="607"/>
      <c r="H15" s="602"/>
      <c r="I15" s="1089"/>
      <c r="J15" s="1112" t="s">
        <v>1282</v>
      </c>
      <c r="K15" s="607">
        <v>15</v>
      </c>
      <c r="L15" s="1113">
        <v>2.65</v>
      </c>
      <c r="M15" s="608">
        <v>1.1499999999999999</v>
      </c>
      <c r="N15" s="894">
        <v>1.55</v>
      </c>
    </row>
    <row r="16" spans="2:14" ht="15.75">
      <c r="B16" s="601" t="s">
        <v>773</v>
      </c>
      <c r="C16" s="1110">
        <v>700</v>
      </c>
      <c r="D16" s="610">
        <v>0.15</v>
      </c>
      <c r="E16" s="1111">
        <v>9.1639999999999999E-2</v>
      </c>
      <c r="F16" s="611">
        <v>0.3</v>
      </c>
      <c r="G16" s="607"/>
      <c r="H16" s="602"/>
      <c r="I16" s="1089"/>
      <c r="J16" s="1112" t="s">
        <v>1283</v>
      </c>
      <c r="K16" s="607">
        <v>150</v>
      </c>
      <c r="L16" s="1113">
        <v>0.23</v>
      </c>
      <c r="M16" s="608">
        <v>0.21</v>
      </c>
      <c r="N16" s="894">
        <v>1.05</v>
      </c>
    </row>
    <row r="17" spans="2:14" ht="15.75">
      <c r="B17" s="601" t="s">
        <v>1284</v>
      </c>
      <c r="C17" s="1110">
        <v>700</v>
      </c>
      <c r="D17" s="610">
        <v>0.15</v>
      </c>
      <c r="E17" s="1111">
        <v>9.1639999999999999E-2</v>
      </c>
      <c r="F17" s="611">
        <v>0.3</v>
      </c>
      <c r="G17" s="607"/>
      <c r="H17" s="602"/>
      <c r="I17" s="1089"/>
      <c r="J17" s="1112" t="s">
        <v>1285</v>
      </c>
      <c r="K17" s="607">
        <v>150</v>
      </c>
      <c r="L17" s="1113">
        <v>0.41</v>
      </c>
      <c r="M17" s="608">
        <v>0.08</v>
      </c>
      <c r="N17" s="894">
        <v>0.8</v>
      </c>
    </row>
    <row r="18" spans="2:14" ht="15.75">
      <c r="B18" s="601" t="s">
        <v>774</v>
      </c>
      <c r="C18" s="1110">
        <v>65</v>
      </c>
      <c r="D18" s="610">
        <v>1.1000000000000001</v>
      </c>
      <c r="E18" s="1111">
        <v>0.25</v>
      </c>
      <c r="F18" s="611">
        <v>0.4</v>
      </c>
      <c r="G18" s="607"/>
      <c r="H18" s="602"/>
      <c r="I18" s="1089"/>
      <c r="J18" s="1112" t="s">
        <v>1286</v>
      </c>
      <c r="K18" s="607">
        <v>25</v>
      </c>
      <c r="L18" s="1113">
        <v>2.78</v>
      </c>
      <c r="M18" s="608">
        <v>1.26</v>
      </c>
      <c r="N18" s="894">
        <v>2.58</v>
      </c>
    </row>
    <row r="19" spans="2:14" ht="15.75">
      <c r="B19" s="601" t="s">
        <v>1287</v>
      </c>
      <c r="C19" s="1110">
        <v>250</v>
      </c>
      <c r="D19" s="610">
        <v>0.3</v>
      </c>
      <c r="E19" s="1111">
        <v>9.1639999999999999E-2</v>
      </c>
      <c r="F19" s="611">
        <v>0.60199999999999998</v>
      </c>
      <c r="G19" s="607"/>
      <c r="H19" s="602"/>
      <c r="I19" s="1089"/>
      <c r="J19" s="1112" t="s">
        <v>1288</v>
      </c>
      <c r="K19" s="607">
        <v>150</v>
      </c>
      <c r="L19" s="1113">
        <v>0.39</v>
      </c>
      <c r="M19" s="608">
        <v>0.16</v>
      </c>
      <c r="N19" s="894">
        <v>1.1499999999999999</v>
      </c>
    </row>
    <row r="20" spans="2:14" ht="15.75">
      <c r="B20" s="601" t="s">
        <v>1289</v>
      </c>
      <c r="C20" s="1110">
        <v>200</v>
      </c>
      <c r="D20" s="610">
        <v>0.3</v>
      </c>
      <c r="E20" s="1111">
        <v>9.1639999999999999E-2</v>
      </c>
      <c r="F20" s="611">
        <v>0.60199999999999998</v>
      </c>
      <c r="G20" s="607"/>
      <c r="H20" s="602"/>
      <c r="I20" s="1089"/>
      <c r="J20" s="1112" t="s">
        <v>1290</v>
      </c>
      <c r="K20" s="607">
        <v>300</v>
      </c>
      <c r="L20" s="1113">
        <v>0.4</v>
      </c>
      <c r="M20" s="608">
        <v>0.25</v>
      </c>
      <c r="N20" s="894">
        <v>0.47</v>
      </c>
    </row>
    <row r="21" spans="2:14" ht="15.75">
      <c r="B21" s="601" t="s">
        <v>775</v>
      </c>
      <c r="C21" s="1110">
        <v>80</v>
      </c>
      <c r="D21" s="610">
        <v>1</v>
      </c>
      <c r="E21" s="1111">
        <v>0.2291</v>
      </c>
      <c r="F21" s="611">
        <v>0.36119999999999997</v>
      </c>
      <c r="G21" s="607"/>
      <c r="H21" s="602"/>
      <c r="I21" s="1089"/>
      <c r="J21" s="1112" t="s">
        <v>1291</v>
      </c>
      <c r="K21" s="607">
        <v>500</v>
      </c>
      <c r="L21" s="1113">
        <v>0.23</v>
      </c>
      <c r="M21" s="608">
        <v>0.1</v>
      </c>
      <c r="N21" s="894">
        <v>0.54</v>
      </c>
    </row>
    <row r="22" spans="2:14" ht="15.75">
      <c r="B22" s="601" t="s">
        <v>776</v>
      </c>
      <c r="C22" s="1110">
        <v>80</v>
      </c>
      <c r="D22" s="610">
        <v>0.45</v>
      </c>
      <c r="E22" s="1111">
        <v>9.8512999999999989E-2</v>
      </c>
      <c r="F22" s="611">
        <v>0.65016000000000007</v>
      </c>
      <c r="G22" s="607"/>
      <c r="H22" s="602"/>
      <c r="I22" s="1089"/>
      <c r="J22" s="1112" t="s">
        <v>1292</v>
      </c>
      <c r="K22" s="607">
        <v>20</v>
      </c>
      <c r="L22" s="1113">
        <v>0.5</v>
      </c>
      <c r="M22" s="608">
        <v>0.75</v>
      </c>
      <c r="N22" s="894">
        <v>0.4</v>
      </c>
    </row>
    <row r="23" spans="2:14" ht="15.75">
      <c r="B23" s="601" t="s">
        <v>777</v>
      </c>
      <c r="C23" s="1110">
        <v>130</v>
      </c>
      <c r="D23" s="610">
        <v>0.45</v>
      </c>
      <c r="E23" s="1111">
        <v>9.8512999999999989E-2</v>
      </c>
      <c r="F23" s="611">
        <v>0.65016000000000007</v>
      </c>
      <c r="G23" s="607"/>
      <c r="H23" s="602"/>
      <c r="I23" s="1089"/>
      <c r="J23" s="1112" t="s">
        <v>1293</v>
      </c>
      <c r="K23" s="607">
        <v>20</v>
      </c>
      <c r="L23" s="1113">
        <v>0.75</v>
      </c>
      <c r="M23" s="608">
        <v>0.25</v>
      </c>
      <c r="N23" s="894">
        <v>0.62</v>
      </c>
    </row>
    <row r="24" spans="2:14" ht="15.75">
      <c r="B24" s="601" t="s">
        <v>778</v>
      </c>
      <c r="C24" s="1110">
        <v>400</v>
      </c>
      <c r="D24" s="610">
        <v>0.49</v>
      </c>
      <c r="E24" s="1111">
        <v>0.16300000000000001</v>
      </c>
      <c r="F24" s="611">
        <v>0.54179999999999995</v>
      </c>
      <c r="G24" s="607"/>
      <c r="H24" s="602"/>
      <c r="I24" s="1089"/>
      <c r="J24" s="1112" t="s">
        <v>1294</v>
      </c>
      <c r="K24" s="607">
        <v>100</v>
      </c>
      <c r="L24" s="1113">
        <v>0.67</v>
      </c>
      <c r="M24" s="608">
        <v>0.2</v>
      </c>
      <c r="N24" s="894">
        <v>0.81</v>
      </c>
    </row>
    <row r="25" spans="2:14" ht="15.75">
      <c r="B25" s="601" t="s">
        <v>779</v>
      </c>
      <c r="C25" s="1110">
        <v>800</v>
      </c>
      <c r="D25" s="610">
        <v>0.15</v>
      </c>
      <c r="E25" s="1111">
        <v>6.8729999999999999E-2</v>
      </c>
      <c r="F25" s="611">
        <v>0.24080000000000001</v>
      </c>
      <c r="G25" s="607"/>
      <c r="H25" s="602"/>
      <c r="I25" s="1089"/>
      <c r="J25" s="1112" t="s">
        <v>1295</v>
      </c>
      <c r="K25" s="607">
        <v>150</v>
      </c>
      <c r="L25" s="1113">
        <v>0.28999999999999998</v>
      </c>
      <c r="M25" s="608">
        <v>0.19</v>
      </c>
      <c r="N25" s="894">
        <v>0.41</v>
      </c>
    </row>
    <row r="26" spans="2:14" ht="15.75">
      <c r="B26" s="601" t="s">
        <v>1296</v>
      </c>
      <c r="C26" s="1110">
        <v>3000</v>
      </c>
      <c r="D26" s="610">
        <v>0.15</v>
      </c>
      <c r="E26" s="1111">
        <v>6.8729999999999999E-2</v>
      </c>
      <c r="F26" s="611">
        <v>0.24080000000000001</v>
      </c>
      <c r="G26" s="607"/>
      <c r="H26" s="602"/>
      <c r="I26" s="1089"/>
      <c r="J26" s="1112" t="s">
        <v>1297</v>
      </c>
      <c r="K26" s="607">
        <v>200</v>
      </c>
      <c r="L26" s="1113">
        <v>0.28000000000000003</v>
      </c>
      <c r="M26" s="608">
        <v>0.1</v>
      </c>
      <c r="N26" s="894">
        <v>0.5</v>
      </c>
    </row>
    <row r="27" spans="2:14" ht="15.75">
      <c r="B27" s="601" t="s">
        <v>780</v>
      </c>
      <c r="C27" s="1110">
        <v>100</v>
      </c>
      <c r="D27" s="610">
        <v>0.45</v>
      </c>
      <c r="E27" s="1111">
        <v>0.16699999999999998</v>
      </c>
      <c r="F27" s="611">
        <v>0.35</v>
      </c>
      <c r="G27" s="607"/>
      <c r="H27" s="602"/>
      <c r="I27" s="1089"/>
      <c r="J27" s="1112" t="s">
        <v>1298</v>
      </c>
      <c r="K27" s="607">
        <v>150</v>
      </c>
      <c r="L27" s="1113">
        <v>0.33</v>
      </c>
      <c r="M27" s="608">
        <v>0.09</v>
      </c>
      <c r="N27" s="894">
        <v>0.39</v>
      </c>
    </row>
    <row r="28" spans="2:14" ht="15.75">
      <c r="B28" s="601" t="s">
        <v>781</v>
      </c>
      <c r="C28" s="1110">
        <v>400</v>
      </c>
      <c r="D28" s="610">
        <v>0.2</v>
      </c>
      <c r="E28" s="1111">
        <v>6.8729999999999999E-2</v>
      </c>
      <c r="F28" s="611">
        <v>0.48160000000000003</v>
      </c>
      <c r="G28" s="607"/>
      <c r="H28" s="602"/>
      <c r="I28" s="1089"/>
      <c r="J28" s="1112" t="s">
        <v>1299</v>
      </c>
      <c r="K28" s="607">
        <v>40</v>
      </c>
      <c r="L28" s="1113">
        <v>0.4</v>
      </c>
      <c r="M28" s="608">
        <v>0.16</v>
      </c>
      <c r="N28" s="894">
        <v>0.48</v>
      </c>
    </row>
    <row r="29" spans="2:14" ht="15.75">
      <c r="B29" s="601" t="s">
        <v>1300</v>
      </c>
      <c r="C29" s="1110">
        <v>250</v>
      </c>
      <c r="D29" s="610">
        <v>0.2</v>
      </c>
      <c r="E29" s="1111">
        <v>6.8729999999999999E-2</v>
      </c>
      <c r="F29" s="611">
        <v>0.48160000000000003</v>
      </c>
      <c r="G29" s="607"/>
      <c r="H29" s="602"/>
      <c r="I29" s="1089"/>
      <c r="J29" s="1112" t="s">
        <v>1301</v>
      </c>
      <c r="K29" s="607">
        <v>70</v>
      </c>
      <c r="L29" s="1113">
        <v>0.47</v>
      </c>
      <c r="M29" s="608">
        <v>0.16</v>
      </c>
      <c r="N29" s="894">
        <v>0.74</v>
      </c>
    </row>
    <row r="30" spans="2:14" ht="15.75">
      <c r="B30" s="601" t="s">
        <v>782</v>
      </c>
      <c r="C30" s="1110">
        <v>450</v>
      </c>
      <c r="D30" s="610">
        <v>0.28000000000000003</v>
      </c>
      <c r="E30" s="1111">
        <v>0.10309499999999999</v>
      </c>
      <c r="F30" s="611">
        <v>0.42139999999999994</v>
      </c>
      <c r="G30" s="607"/>
      <c r="H30" s="602"/>
      <c r="I30" s="1089"/>
      <c r="J30" s="1112" t="s">
        <v>1302</v>
      </c>
      <c r="K30" s="607">
        <v>60</v>
      </c>
      <c r="L30" s="1113">
        <v>0.68</v>
      </c>
      <c r="M30" s="608">
        <v>0.3</v>
      </c>
      <c r="N30" s="894">
        <v>0.65</v>
      </c>
    </row>
    <row r="31" spans="2:14" ht="15.75">
      <c r="B31" s="601" t="s">
        <v>1303</v>
      </c>
      <c r="C31" s="1110">
        <v>675</v>
      </c>
      <c r="D31" s="610">
        <v>0.28000000000000003</v>
      </c>
      <c r="E31" s="1111">
        <v>0.10309499999999999</v>
      </c>
      <c r="F31" s="611">
        <v>0.42139999999999994</v>
      </c>
      <c r="G31" s="607"/>
      <c r="H31" s="602"/>
      <c r="I31" s="1089"/>
      <c r="J31" s="1112" t="s">
        <v>1304</v>
      </c>
      <c r="K31" s="607">
        <v>135</v>
      </c>
      <c r="L31" s="1113">
        <v>0.65</v>
      </c>
      <c r="M31" s="608">
        <v>0.16</v>
      </c>
      <c r="N31" s="894">
        <v>0.74</v>
      </c>
    </row>
    <row r="32" spans="2:14" ht="15.75">
      <c r="B32" s="601" t="s">
        <v>783</v>
      </c>
      <c r="C32" s="1110">
        <v>500</v>
      </c>
      <c r="D32" s="610">
        <v>0.26</v>
      </c>
      <c r="E32" s="1114">
        <v>0.16</v>
      </c>
      <c r="F32" s="1115">
        <v>0.65</v>
      </c>
      <c r="G32" s="607"/>
      <c r="H32" s="602"/>
      <c r="I32" s="1089"/>
      <c r="J32" s="1112" t="s">
        <v>1305</v>
      </c>
      <c r="K32" s="1116">
        <v>250</v>
      </c>
      <c r="L32" s="1113">
        <v>0.59</v>
      </c>
      <c r="M32" s="608">
        <v>0.15</v>
      </c>
      <c r="N32" s="894">
        <v>0.76</v>
      </c>
    </row>
    <row r="33" spans="2:14" ht="15.75">
      <c r="B33" s="601" t="s">
        <v>784</v>
      </c>
      <c r="C33" s="1110">
        <v>400</v>
      </c>
      <c r="D33" s="610">
        <v>0.25</v>
      </c>
      <c r="E33" s="1111">
        <v>0.20599999999999999</v>
      </c>
      <c r="F33" s="611">
        <v>0.55000000000000004</v>
      </c>
      <c r="G33" s="607"/>
      <c r="H33" s="602"/>
      <c r="I33" s="1089"/>
      <c r="J33" s="1112" t="s">
        <v>1306</v>
      </c>
      <c r="K33" s="1116">
        <v>70</v>
      </c>
      <c r="L33" s="1113">
        <v>0.35</v>
      </c>
      <c r="M33" s="608">
        <v>0.17</v>
      </c>
      <c r="N33" s="894">
        <v>0.51</v>
      </c>
    </row>
    <row r="34" spans="2:14" ht="15.75">
      <c r="B34" s="601" t="s">
        <v>785</v>
      </c>
      <c r="C34" s="1110">
        <v>650</v>
      </c>
      <c r="D34" s="610">
        <v>0.17</v>
      </c>
      <c r="E34" s="1111">
        <v>0.1031</v>
      </c>
      <c r="F34" s="611">
        <v>0.4214</v>
      </c>
      <c r="G34" s="607"/>
      <c r="H34" s="602"/>
      <c r="I34" s="1089"/>
      <c r="J34" s="1112" t="s">
        <v>1307</v>
      </c>
      <c r="K34" s="1116">
        <v>250</v>
      </c>
      <c r="L34" s="1113">
        <v>0.45</v>
      </c>
      <c r="M34" s="608">
        <v>0.21</v>
      </c>
      <c r="N34" s="894">
        <v>0.85</v>
      </c>
    </row>
    <row r="35" spans="2:14" ht="15.75">
      <c r="B35" s="601" t="s">
        <v>1308</v>
      </c>
      <c r="C35" s="1110">
        <v>180</v>
      </c>
      <c r="D35" s="610">
        <v>0.32</v>
      </c>
      <c r="E35" s="1111">
        <v>0.09</v>
      </c>
      <c r="F35" s="611">
        <v>0.48</v>
      </c>
      <c r="G35" s="607"/>
      <c r="H35" s="602"/>
      <c r="I35" s="1089"/>
      <c r="J35" s="1112" t="s">
        <v>1309</v>
      </c>
      <c r="K35" s="607">
        <v>500</v>
      </c>
      <c r="L35" s="1113">
        <v>0.35</v>
      </c>
      <c r="M35" s="608">
        <v>0.16</v>
      </c>
      <c r="N35" s="894">
        <v>0.69</v>
      </c>
    </row>
    <row r="36" spans="2:14" ht="15.75">
      <c r="B36" s="601" t="s">
        <v>786</v>
      </c>
      <c r="C36" s="1110">
        <v>200</v>
      </c>
      <c r="D36" s="610">
        <v>0.7</v>
      </c>
      <c r="E36" s="1111">
        <v>0.22</v>
      </c>
      <c r="F36" s="611">
        <v>0.72</v>
      </c>
      <c r="G36" s="607"/>
      <c r="H36" s="602"/>
      <c r="I36" s="1089"/>
      <c r="J36" s="1112" t="s">
        <v>1310</v>
      </c>
      <c r="K36" s="607">
        <v>100</v>
      </c>
      <c r="L36" s="1113">
        <v>0.3</v>
      </c>
      <c r="M36" s="608">
        <v>0.16</v>
      </c>
      <c r="N36" s="894">
        <v>0.47</v>
      </c>
    </row>
    <row r="37" spans="2:14" ht="15.75">
      <c r="B37" s="601" t="s">
        <v>787</v>
      </c>
      <c r="C37" s="1110">
        <v>200</v>
      </c>
      <c r="D37" s="610">
        <v>0.15</v>
      </c>
      <c r="E37" s="1111">
        <v>7.0000000000000007E-2</v>
      </c>
      <c r="F37" s="611">
        <v>0.3</v>
      </c>
      <c r="G37" s="607"/>
      <c r="H37" s="602"/>
      <c r="I37" s="1089"/>
      <c r="J37" s="1112" t="s">
        <v>1311</v>
      </c>
      <c r="K37" s="607">
        <v>400</v>
      </c>
      <c r="L37" s="1113">
        <v>0.41</v>
      </c>
      <c r="M37" s="608">
        <v>0.18</v>
      </c>
      <c r="N37" s="894">
        <v>0.8</v>
      </c>
    </row>
    <row r="38" spans="2:14" ht="15.75">
      <c r="B38" s="601" t="s">
        <v>788</v>
      </c>
      <c r="C38" s="1110">
        <v>200</v>
      </c>
      <c r="D38" s="610">
        <v>0.15</v>
      </c>
      <c r="E38" s="1111">
        <v>7.0000000000000007E-2</v>
      </c>
      <c r="F38" s="611">
        <v>0.3</v>
      </c>
      <c r="G38" s="607"/>
      <c r="H38" s="602"/>
      <c r="I38" s="1089"/>
      <c r="J38" s="1112" t="s">
        <v>1312</v>
      </c>
      <c r="K38" s="607">
        <v>5</v>
      </c>
      <c r="L38" s="1113">
        <v>3.87</v>
      </c>
      <c r="M38" s="608">
        <v>1.4</v>
      </c>
      <c r="N38" s="894">
        <v>1.53</v>
      </c>
    </row>
    <row r="39" spans="2:14" ht="15.75">
      <c r="B39" s="601" t="s">
        <v>789</v>
      </c>
      <c r="C39" s="1110">
        <v>600</v>
      </c>
      <c r="D39" s="610">
        <v>0.17</v>
      </c>
      <c r="E39" s="1111">
        <v>8.2475999999999994E-2</v>
      </c>
      <c r="F39" s="611">
        <v>0.52976000000000001</v>
      </c>
      <c r="G39" s="607"/>
      <c r="H39" s="602"/>
      <c r="I39" s="1089"/>
      <c r="J39" s="1112" t="s">
        <v>1313</v>
      </c>
      <c r="K39" s="607">
        <v>20</v>
      </c>
      <c r="L39" s="1113">
        <v>0.68</v>
      </c>
      <c r="M39" s="608">
        <v>0.42</v>
      </c>
      <c r="N39" s="894">
        <v>0.82</v>
      </c>
    </row>
    <row r="40" spans="2:14" ht="15.75">
      <c r="B40" s="601" t="s">
        <v>790</v>
      </c>
      <c r="C40" s="1110">
        <v>700</v>
      </c>
      <c r="D40" s="610">
        <v>0.13</v>
      </c>
      <c r="E40" s="1111">
        <v>0.08</v>
      </c>
      <c r="F40" s="611">
        <v>0.42139999999999994</v>
      </c>
      <c r="G40" s="607"/>
      <c r="H40" s="602"/>
      <c r="I40" s="1089"/>
      <c r="J40" s="1112" t="s">
        <v>1314</v>
      </c>
      <c r="K40" s="607">
        <v>450</v>
      </c>
      <c r="L40" s="1113">
        <v>0.32</v>
      </c>
      <c r="M40" s="608">
        <v>0.12</v>
      </c>
      <c r="N40" s="894">
        <v>0.49</v>
      </c>
    </row>
    <row r="41" spans="2:14" ht="15.75">
      <c r="B41" s="601" t="s">
        <v>791</v>
      </c>
      <c r="C41" s="1110">
        <v>900</v>
      </c>
      <c r="D41" s="610">
        <v>0.13</v>
      </c>
      <c r="E41" s="1111">
        <v>0.08</v>
      </c>
      <c r="F41" s="611">
        <v>0.42139999999999994</v>
      </c>
      <c r="G41" s="607"/>
      <c r="H41" s="602"/>
      <c r="I41" s="1089"/>
      <c r="J41" s="1112" t="s">
        <v>1315</v>
      </c>
      <c r="K41" s="607">
        <v>700</v>
      </c>
      <c r="L41" s="1113">
        <v>0.15</v>
      </c>
      <c r="M41" s="608">
        <v>0.05</v>
      </c>
      <c r="N41" s="894">
        <v>0.44</v>
      </c>
    </row>
    <row r="42" spans="2:14" ht="15.75">
      <c r="B42" s="601" t="s">
        <v>1316</v>
      </c>
      <c r="C42" s="1110">
        <v>500</v>
      </c>
      <c r="D42" s="610">
        <v>0.25</v>
      </c>
      <c r="E42" s="1111">
        <v>0.09</v>
      </c>
      <c r="F42" s="611">
        <v>0.3</v>
      </c>
      <c r="G42" s="607"/>
      <c r="H42" s="602"/>
      <c r="I42" s="1089"/>
      <c r="J42" s="1112" t="s">
        <v>1317</v>
      </c>
      <c r="K42" s="607">
        <v>300</v>
      </c>
      <c r="L42" s="1113">
        <v>0.34</v>
      </c>
      <c r="M42" s="608">
        <v>0.17</v>
      </c>
      <c r="N42" s="894">
        <v>0.8</v>
      </c>
    </row>
    <row r="43" spans="2:14" ht="15.75">
      <c r="B43" s="601" t="s">
        <v>792</v>
      </c>
      <c r="C43" s="1110">
        <v>600</v>
      </c>
      <c r="D43" s="610">
        <v>0.17</v>
      </c>
      <c r="E43" s="1111">
        <v>7.0000000000000007E-2</v>
      </c>
      <c r="F43" s="611">
        <v>0.28999999999999998</v>
      </c>
      <c r="G43" s="607"/>
      <c r="H43" s="602"/>
      <c r="I43" s="1089"/>
      <c r="J43" s="1112" t="s">
        <v>1318</v>
      </c>
      <c r="K43" s="607">
        <v>400</v>
      </c>
      <c r="L43" s="1113">
        <v>0.59</v>
      </c>
      <c r="M43" s="608">
        <v>0.16</v>
      </c>
      <c r="N43" s="894">
        <v>0.69</v>
      </c>
    </row>
    <row r="44" spans="2:14" ht="15.75">
      <c r="B44" s="601" t="s">
        <v>1319</v>
      </c>
      <c r="C44" s="1110">
        <v>800</v>
      </c>
      <c r="D44" s="610">
        <v>0.17</v>
      </c>
      <c r="E44" s="1111">
        <v>7.0000000000000007E-2</v>
      </c>
      <c r="F44" s="611">
        <v>0.28999999999999998</v>
      </c>
      <c r="G44" s="607"/>
      <c r="H44" s="602"/>
      <c r="I44" s="1089"/>
      <c r="J44" s="1112" t="s">
        <v>1320</v>
      </c>
      <c r="K44" s="607">
        <v>80</v>
      </c>
      <c r="L44" s="1113">
        <v>0.38</v>
      </c>
      <c r="M44" s="608">
        <v>0.2</v>
      </c>
      <c r="N44" s="894">
        <v>0.51</v>
      </c>
    </row>
    <row r="45" spans="2:14" ht="15.75">
      <c r="B45" s="601" t="s">
        <v>793</v>
      </c>
      <c r="C45" s="1110">
        <v>400</v>
      </c>
      <c r="D45" s="610">
        <v>0.25</v>
      </c>
      <c r="E45" s="1111">
        <v>0.23597299999999999</v>
      </c>
      <c r="F45" s="611">
        <v>0.72239999999999993</v>
      </c>
      <c r="G45" s="607"/>
      <c r="H45" s="602"/>
      <c r="I45" s="1089"/>
      <c r="J45" s="1112" t="s">
        <v>1321</v>
      </c>
      <c r="K45" s="607">
        <v>120</v>
      </c>
      <c r="L45" s="1113">
        <v>0.7</v>
      </c>
      <c r="M45" s="608">
        <v>0.15</v>
      </c>
      <c r="N45" s="894">
        <v>0.79</v>
      </c>
    </row>
    <row r="46" spans="2:14" ht="15.75">
      <c r="B46" s="601" t="s">
        <v>1322</v>
      </c>
      <c r="C46" s="1110">
        <v>240</v>
      </c>
      <c r="D46" s="610">
        <v>0.45</v>
      </c>
      <c r="E46" s="1111">
        <v>0.11455</v>
      </c>
      <c r="F46" s="611">
        <v>0.66220000000000001</v>
      </c>
      <c r="G46" s="607"/>
      <c r="H46" s="602"/>
      <c r="I46" s="1089"/>
      <c r="J46" s="1112" t="s">
        <v>1323</v>
      </c>
      <c r="K46" s="607">
        <v>150</v>
      </c>
      <c r="L46" s="1113">
        <v>0.3</v>
      </c>
      <c r="M46" s="608">
        <v>9.1999999999999998E-2</v>
      </c>
      <c r="N46" s="894">
        <v>0.71</v>
      </c>
    </row>
    <row r="47" spans="2:14" ht="15.75">
      <c r="B47" s="601" t="s">
        <v>1324</v>
      </c>
      <c r="C47" s="1110">
        <v>160</v>
      </c>
      <c r="D47" s="610">
        <v>0.45</v>
      </c>
      <c r="E47" s="1111">
        <v>0.11455</v>
      </c>
      <c r="F47" s="611">
        <v>0.66220000000000001</v>
      </c>
      <c r="G47" s="607"/>
      <c r="H47" s="602"/>
      <c r="I47" s="1089"/>
      <c r="J47" s="1112" t="s">
        <v>1325</v>
      </c>
      <c r="K47" s="607">
        <v>200</v>
      </c>
      <c r="L47" s="1113">
        <v>0.3</v>
      </c>
      <c r="M47" s="608">
        <v>9.1999999999999998E-2</v>
      </c>
      <c r="N47" s="894">
        <v>0.71</v>
      </c>
    </row>
    <row r="48" spans="2:14" ht="15.75">
      <c r="B48" s="601" t="s">
        <v>1326</v>
      </c>
      <c r="C48" s="1110">
        <v>140</v>
      </c>
      <c r="D48" s="610">
        <v>0.45</v>
      </c>
      <c r="E48" s="1111">
        <v>0.11</v>
      </c>
      <c r="F48" s="611">
        <v>0.66</v>
      </c>
      <c r="G48" s="607"/>
      <c r="H48" s="602"/>
      <c r="I48" s="1089"/>
      <c r="J48" s="1112" t="s">
        <v>1327</v>
      </c>
      <c r="K48" s="607">
        <v>250</v>
      </c>
      <c r="L48" s="1113">
        <v>0.3</v>
      </c>
      <c r="M48" s="608">
        <v>9.1999999999999998E-2</v>
      </c>
      <c r="N48" s="894">
        <v>0.71</v>
      </c>
    </row>
    <row r="49" spans="2:14" ht="15.75">
      <c r="B49" s="601" t="s">
        <v>1328</v>
      </c>
      <c r="C49" s="1110">
        <v>140</v>
      </c>
      <c r="D49" s="610">
        <v>0.45</v>
      </c>
      <c r="E49" s="1111">
        <v>0.11</v>
      </c>
      <c r="F49" s="611">
        <v>0.66</v>
      </c>
      <c r="G49" s="607"/>
      <c r="H49" s="602"/>
      <c r="I49" s="1089"/>
      <c r="J49" s="1112" t="s">
        <v>1329</v>
      </c>
      <c r="K49" s="607">
        <v>120</v>
      </c>
      <c r="L49" s="1113">
        <v>0.5</v>
      </c>
      <c r="M49" s="608">
        <v>0.14000000000000001</v>
      </c>
      <c r="N49" s="894">
        <v>0.52</v>
      </c>
    </row>
    <row r="50" spans="2:14" ht="15.75">
      <c r="B50" s="601" t="s">
        <v>794</v>
      </c>
      <c r="C50" s="1110">
        <v>400</v>
      </c>
      <c r="D50" s="610">
        <v>0.42</v>
      </c>
      <c r="E50" s="1111">
        <v>0.13746</v>
      </c>
      <c r="F50" s="611">
        <v>0.84279999999999988</v>
      </c>
      <c r="G50" s="607"/>
      <c r="H50" s="602"/>
      <c r="I50" s="1089"/>
      <c r="J50" s="1112" t="s">
        <v>1330</v>
      </c>
      <c r="K50" s="607">
        <v>500</v>
      </c>
      <c r="L50" s="1113">
        <v>0.27</v>
      </c>
      <c r="M50" s="608">
        <v>0.11</v>
      </c>
      <c r="N50" s="894">
        <v>0.65</v>
      </c>
    </row>
    <row r="51" spans="2:14" ht="15.75">
      <c r="B51" s="601" t="s">
        <v>795</v>
      </c>
      <c r="C51" s="1110">
        <v>600</v>
      </c>
      <c r="D51" s="610">
        <v>0.25</v>
      </c>
      <c r="E51" s="1111">
        <v>8.0185000000000006E-2</v>
      </c>
      <c r="F51" s="611">
        <v>0.36119999999999997</v>
      </c>
      <c r="G51" s="607"/>
      <c r="H51" s="602"/>
      <c r="I51" s="1089"/>
      <c r="J51" s="1112" t="s">
        <v>1331</v>
      </c>
      <c r="K51" s="607">
        <v>150</v>
      </c>
      <c r="L51" s="1113">
        <v>0.66</v>
      </c>
      <c r="M51" s="608">
        <v>0.3</v>
      </c>
      <c r="N51" s="894">
        <v>0.72</v>
      </c>
    </row>
    <row r="52" spans="2:14" ht="15.75">
      <c r="B52" s="601" t="s">
        <v>1332</v>
      </c>
      <c r="C52" s="1110">
        <v>150</v>
      </c>
      <c r="D52" s="610">
        <v>0.33</v>
      </c>
      <c r="E52" s="1111">
        <v>0.11</v>
      </c>
      <c r="F52" s="611">
        <v>0.53</v>
      </c>
      <c r="G52" s="607"/>
      <c r="H52" s="602"/>
      <c r="I52" s="1089"/>
      <c r="J52" s="1112" t="s">
        <v>1333</v>
      </c>
      <c r="K52" s="607">
        <v>100</v>
      </c>
      <c r="L52" s="1113">
        <v>0.22</v>
      </c>
      <c r="M52" s="608">
        <v>7.0000000000000007E-2</v>
      </c>
      <c r="N52" s="894">
        <v>0.8</v>
      </c>
    </row>
    <row r="53" spans="2:14" ht="15.75">
      <c r="B53" s="601" t="s">
        <v>1334</v>
      </c>
      <c r="C53" s="1110">
        <v>100</v>
      </c>
      <c r="D53" s="610">
        <v>0.33</v>
      </c>
      <c r="E53" s="1111">
        <v>0.11</v>
      </c>
      <c r="F53" s="611">
        <v>0.53</v>
      </c>
      <c r="G53" s="607"/>
      <c r="H53" s="602"/>
      <c r="I53" s="1089"/>
      <c r="J53" s="1112" t="s">
        <v>1335</v>
      </c>
      <c r="K53" s="607">
        <v>500</v>
      </c>
      <c r="L53" s="1113">
        <v>0.48</v>
      </c>
      <c r="M53" s="608">
        <v>0.14000000000000001</v>
      </c>
      <c r="N53" s="894">
        <v>0.6</v>
      </c>
    </row>
    <row r="54" spans="2:14" ht="15.75">
      <c r="B54" s="601" t="s">
        <v>1336</v>
      </c>
      <c r="C54" s="1110">
        <v>150</v>
      </c>
      <c r="D54" s="610">
        <v>0.33</v>
      </c>
      <c r="E54" s="1111">
        <v>0.11</v>
      </c>
      <c r="F54" s="611">
        <v>0.53</v>
      </c>
      <c r="G54" s="607"/>
      <c r="H54" s="602"/>
      <c r="I54" s="1089"/>
      <c r="J54" s="1112" t="s">
        <v>1337</v>
      </c>
      <c r="K54" s="607">
        <v>200</v>
      </c>
      <c r="L54" s="1113">
        <v>0.42</v>
      </c>
      <c r="M54" s="608">
        <v>0.25</v>
      </c>
      <c r="N54" s="894">
        <v>0.54</v>
      </c>
    </row>
    <row r="55" spans="2:14" ht="15.75">
      <c r="B55" s="601" t="s">
        <v>1338</v>
      </c>
      <c r="C55" s="1110">
        <v>100</v>
      </c>
      <c r="D55" s="610">
        <v>0.33</v>
      </c>
      <c r="E55" s="1111">
        <v>0.11</v>
      </c>
      <c r="F55" s="611">
        <v>0.53</v>
      </c>
      <c r="G55" s="607"/>
      <c r="H55" s="602"/>
      <c r="I55" s="1089"/>
      <c r="J55" s="1112" t="s">
        <v>1339</v>
      </c>
      <c r="K55" s="607">
        <v>400</v>
      </c>
      <c r="L55" s="1113">
        <v>0.22</v>
      </c>
      <c r="M55" s="608">
        <v>0.08</v>
      </c>
      <c r="N55" s="894">
        <v>0.64</v>
      </c>
    </row>
    <row r="56" spans="2:14" ht="15.75">
      <c r="B56" s="601" t="s">
        <v>796</v>
      </c>
      <c r="C56" s="1110">
        <v>300</v>
      </c>
      <c r="D56" s="610">
        <v>0.2</v>
      </c>
      <c r="E56" s="1111">
        <v>6.8729999999999999E-2</v>
      </c>
      <c r="F56" s="611">
        <v>0.33712000000000003</v>
      </c>
      <c r="G56" s="607"/>
      <c r="H56" s="602"/>
      <c r="I56" s="1089"/>
      <c r="J56" s="1112" t="s">
        <v>1340</v>
      </c>
      <c r="K56" s="607">
        <v>200</v>
      </c>
      <c r="L56" s="1113">
        <v>0.3</v>
      </c>
      <c r="M56" s="608">
        <v>0.23</v>
      </c>
      <c r="N56" s="894">
        <v>0.65</v>
      </c>
    </row>
    <row r="57" spans="2:14" ht="15.75">
      <c r="B57" s="601" t="s">
        <v>1341</v>
      </c>
      <c r="C57" s="1110">
        <v>300</v>
      </c>
      <c r="D57" s="610">
        <v>0.2</v>
      </c>
      <c r="E57" s="1111">
        <v>6.8729999999999999E-2</v>
      </c>
      <c r="F57" s="611">
        <v>0.33712000000000003</v>
      </c>
      <c r="G57" s="607"/>
      <c r="H57" s="602"/>
      <c r="I57" s="1089"/>
      <c r="J57" s="1112" t="s">
        <v>1342</v>
      </c>
      <c r="K57" s="607">
        <v>400</v>
      </c>
      <c r="L57" s="1113">
        <v>0.15</v>
      </c>
      <c r="M57" s="608">
        <v>7.0000000000000007E-2</v>
      </c>
      <c r="N57" s="894">
        <v>0.72</v>
      </c>
    </row>
    <row r="58" spans="2:14" ht="15.75">
      <c r="B58" s="601" t="s">
        <v>797</v>
      </c>
      <c r="C58" s="1110">
        <v>500</v>
      </c>
      <c r="D58" s="610">
        <v>0.17</v>
      </c>
      <c r="E58" s="1111">
        <v>7.5603000000000004E-2</v>
      </c>
      <c r="F58" s="611">
        <v>0.36119999999999997</v>
      </c>
      <c r="G58" s="607"/>
      <c r="H58" s="602"/>
      <c r="I58" s="1089"/>
      <c r="J58" s="1112" t="s">
        <v>1343</v>
      </c>
      <c r="K58" s="607">
        <v>300</v>
      </c>
      <c r="L58" s="1113">
        <v>0.3</v>
      </c>
      <c r="M58" s="608">
        <v>0.2</v>
      </c>
      <c r="N58" s="894">
        <v>0.6</v>
      </c>
    </row>
    <row r="59" spans="2:14" ht="15.75">
      <c r="B59" s="601" t="s">
        <v>798</v>
      </c>
      <c r="C59" s="1110">
        <v>550</v>
      </c>
      <c r="D59" s="610">
        <v>0.14000000000000001</v>
      </c>
      <c r="E59" s="1111">
        <v>8.0185000000000006E-2</v>
      </c>
      <c r="F59" s="611">
        <v>0.39732000000000001</v>
      </c>
      <c r="G59" s="607"/>
      <c r="H59" s="602"/>
      <c r="I59" s="1089"/>
      <c r="J59" s="1112" t="s">
        <v>1344</v>
      </c>
      <c r="K59" s="607">
        <v>150</v>
      </c>
      <c r="L59" s="1113">
        <v>0.55000000000000004</v>
      </c>
      <c r="M59" s="608">
        <v>0.16</v>
      </c>
      <c r="N59" s="894">
        <v>0.88</v>
      </c>
    </row>
    <row r="60" spans="2:14" ht="15.75">
      <c r="B60" s="601" t="s">
        <v>799</v>
      </c>
      <c r="C60" s="1110">
        <v>1000</v>
      </c>
      <c r="D60" s="610">
        <v>0.1</v>
      </c>
      <c r="E60" s="1111">
        <v>5.9565999999999994E-2</v>
      </c>
      <c r="F60" s="611">
        <v>0.33712000000000003</v>
      </c>
      <c r="G60" s="607"/>
      <c r="H60" s="602"/>
      <c r="I60" s="1089"/>
      <c r="J60" s="1112" t="s">
        <v>1345</v>
      </c>
      <c r="K60" s="607">
        <v>15</v>
      </c>
      <c r="L60" s="1113">
        <v>2.06</v>
      </c>
      <c r="M60" s="608">
        <v>1.1200000000000001</v>
      </c>
      <c r="N60" s="894">
        <v>0.66</v>
      </c>
    </row>
    <row r="61" spans="2:14" ht="15.75">
      <c r="B61" s="601" t="s">
        <v>1346</v>
      </c>
      <c r="C61" s="1110">
        <v>500</v>
      </c>
      <c r="D61" s="610">
        <v>0.17</v>
      </c>
      <c r="E61" s="1111">
        <v>7.5603000000000004E-2</v>
      </c>
      <c r="F61" s="611">
        <v>0.36119999999999997</v>
      </c>
      <c r="G61" s="607"/>
      <c r="H61" s="602"/>
      <c r="I61" s="1089"/>
      <c r="J61" s="1112" t="s">
        <v>1347</v>
      </c>
      <c r="K61" s="607">
        <v>150</v>
      </c>
      <c r="L61" s="1113">
        <v>0.35</v>
      </c>
      <c r="M61" s="608">
        <v>0.14000000000000001</v>
      </c>
      <c r="N61" s="894">
        <v>0.48</v>
      </c>
    </row>
    <row r="62" spans="2:14" ht="15.75">
      <c r="B62" s="601" t="s">
        <v>1348</v>
      </c>
      <c r="C62" s="1110">
        <v>550</v>
      </c>
      <c r="D62" s="610">
        <v>0.14000000000000001</v>
      </c>
      <c r="E62" s="1111">
        <v>8.0185000000000006E-2</v>
      </c>
      <c r="F62" s="611">
        <v>0.39732000000000001</v>
      </c>
      <c r="G62" s="607"/>
      <c r="H62" s="602"/>
      <c r="I62" s="1089"/>
      <c r="J62" s="1112" t="s">
        <v>1349</v>
      </c>
      <c r="K62" s="607">
        <v>230</v>
      </c>
      <c r="L62" s="1113">
        <v>0.38</v>
      </c>
      <c r="M62" s="608">
        <v>0.14000000000000001</v>
      </c>
      <c r="N62" s="894">
        <v>0.53</v>
      </c>
    </row>
    <row r="63" spans="2:14" ht="15.75">
      <c r="B63" s="601" t="s">
        <v>800</v>
      </c>
      <c r="C63" s="1110">
        <v>0</v>
      </c>
      <c r="D63" s="610">
        <v>0.18</v>
      </c>
      <c r="E63" s="1111">
        <v>9.1999999999999998E-2</v>
      </c>
      <c r="F63" s="611">
        <v>0.48</v>
      </c>
      <c r="G63" s="607">
        <v>55</v>
      </c>
      <c r="H63" s="602">
        <v>93</v>
      </c>
      <c r="I63" s="1089"/>
      <c r="J63" s="1112" t="s">
        <v>1350</v>
      </c>
      <c r="K63" s="607">
        <v>300</v>
      </c>
      <c r="L63" s="1113">
        <v>0.37</v>
      </c>
      <c r="M63" s="608">
        <v>0.08</v>
      </c>
      <c r="N63" s="894">
        <v>0.66</v>
      </c>
    </row>
    <row r="64" spans="2:14" ht="15.75">
      <c r="B64" s="601" t="s">
        <v>801</v>
      </c>
      <c r="C64" s="1110">
        <v>100</v>
      </c>
      <c r="D64" s="610">
        <v>0.18</v>
      </c>
      <c r="E64" s="1111">
        <v>9.1999999999999998E-2</v>
      </c>
      <c r="F64" s="611">
        <v>0.48</v>
      </c>
      <c r="G64" s="607">
        <v>50</v>
      </c>
      <c r="H64" s="602">
        <v>93</v>
      </c>
      <c r="I64" s="1089"/>
      <c r="J64" s="1112" t="s">
        <v>1351</v>
      </c>
      <c r="K64" s="607">
        <v>50</v>
      </c>
      <c r="L64" s="1113">
        <v>0.67</v>
      </c>
      <c r="M64" s="608">
        <v>0.09</v>
      </c>
      <c r="N64" s="894">
        <v>0.66</v>
      </c>
    </row>
    <row r="65" spans="2:14" ht="15.75">
      <c r="B65" s="601" t="s">
        <v>802</v>
      </c>
      <c r="C65" s="1110">
        <v>200</v>
      </c>
      <c r="D65" s="610">
        <v>0.18</v>
      </c>
      <c r="E65" s="1111">
        <v>9.1999999999999998E-2</v>
      </c>
      <c r="F65" s="611">
        <v>0.48</v>
      </c>
      <c r="G65" s="607"/>
      <c r="H65" s="602">
        <v>93</v>
      </c>
      <c r="I65" s="1089"/>
      <c r="J65" s="1112" t="s">
        <v>1352</v>
      </c>
      <c r="K65" s="607">
        <v>210</v>
      </c>
      <c r="L65" s="1113">
        <v>0.6</v>
      </c>
      <c r="M65" s="608">
        <v>0.21</v>
      </c>
      <c r="N65" s="894">
        <v>0.77</v>
      </c>
    </row>
    <row r="66" spans="2:14" ht="15.75">
      <c r="B66" s="601" t="s">
        <v>803</v>
      </c>
      <c r="C66" s="1110">
        <v>350</v>
      </c>
      <c r="D66" s="610">
        <v>0.18</v>
      </c>
      <c r="E66" s="1111">
        <v>9.1999999999999998E-2</v>
      </c>
      <c r="F66" s="611">
        <v>0.48</v>
      </c>
      <c r="G66" s="607"/>
      <c r="H66" s="602"/>
      <c r="I66" s="1089"/>
      <c r="J66" s="1112" t="s">
        <v>1353</v>
      </c>
      <c r="K66" s="607">
        <v>200</v>
      </c>
      <c r="L66" s="1113">
        <v>0.53</v>
      </c>
      <c r="M66" s="608">
        <v>0.2</v>
      </c>
      <c r="N66" s="894">
        <v>0.6</v>
      </c>
    </row>
    <row r="67" spans="2:14" ht="15.75">
      <c r="B67" s="601" t="s">
        <v>1354</v>
      </c>
      <c r="C67" s="1110">
        <v>250</v>
      </c>
      <c r="D67" s="610">
        <v>0.65</v>
      </c>
      <c r="E67" s="1111">
        <v>0.19473500000000002</v>
      </c>
      <c r="F67" s="611">
        <v>0.66220000000000001</v>
      </c>
      <c r="G67" s="607"/>
      <c r="H67" s="602"/>
      <c r="I67" s="1089"/>
      <c r="J67" s="1112" t="s">
        <v>1355</v>
      </c>
      <c r="K67" s="607">
        <v>40</v>
      </c>
      <c r="L67" s="1113">
        <v>0.42</v>
      </c>
      <c r="M67" s="608">
        <v>0.21</v>
      </c>
      <c r="N67" s="894">
        <v>0.54</v>
      </c>
    </row>
    <row r="68" spans="2:14" ht="15.75">
      <c r="B68" s="601" t="s">
        <v>1356</v>
      </c>
      <c r="C68" s="1110">
        <v>400</v>
      </c>
      <c r="D68" s="610">
        <v>0.28000000000000003</v>
      </c>
      <c r="E68" s="1111">
        <v>0.115</v>
      </c>
      <c r="F68" s="611">
        <v>0.48160000000000003</v>
      </c>
      <c r="G68" s="607"/>
      <c r="H68" s="602"/>
      <c r="I68" s="1089"/>
      <c r="J68" s="1112" t="s">
        <v>1357</v>
      </c>
      <c r="K68" s="607">
        <v>60</v>
      </c>
      <c r="L68" s="1113">
        <v>0.26</v>
      </c>
      <c r="M68" s="608">
        <v>0.09</v>
      </c>
      <c r="N68" s="894">
        <v>0.53</v>
      </c>
    </row>
    <row r="69" spans="2:14" ht="15.75">
      <c r="B69" s="601" t="s">
        <v>1358</v>
      </c>
      <c r="C69" s="1110">
        <v>600</v>
      </c>
      <c r="D69" s="610">
        <v>0.28000000000000003</v>
      </c>
      <c r="E69" s="1111">
        <v>0.11455</v>
      </c>
      <c r="F69" s="611">
        <v>0.48160000000000003</v>
      </c>
      <c r="G69" s="607"/>
      <c r="H69" s="602"/>
      <c r="I69" s="1089"/>
      <c r="J69" s="1112" t="s">
        <v>1359</v>
      </c>
      <c r="K69" s="607">
        <v>150</v>
      </c>
      <c r="L69" s="1113">
        <v>0.35</v>
      </c>
      <c r="M69" s="608">
        <v>0.09</v>
      </c>
      <c r="N69" s="894">
        <v>0.37</v>
      </c>
    </row>
    <row r="70" spans="2:14" ht="15.75">
      <c r="B70" s="601" t="s">
        <v>804</v>
      </c>
      <c r="C70" s="1110">
        <v>500</v>
      </c>
      <c r="D70" s="610">
        <v>0.27</v>
      </c>
      <c r="E70" s="1111">
        <v>0.1</v>
      </c>
      <c r="F70" s="611">
        <v>0.55000000000000004</v>
      </c>
      <c r="G70" s="607"/>
      <c r="H70" s="602"/>
      <c r="I70" s="1089"/>
      <c r="J70" s="1112" t="s">
        <v>1360</v>
      </c>
      <c r="K70" s="607">
        <v>100</v>
      </c>
      <c r="L70" s="1113">
        <v>0.41</v>
      </c>
      <c r="M70" s="608">
        <v>0.1</v>
      </c>
      <c r="N70" s="894">
        <v>0.7</v>
      </c>
    </row>
    <row r="71" spans="2:14" ht="15.75">
      <c r="B71" s="601" t="s">
        <v>805</v>
      </c>
      <c r="C71" s="1110">
        <v>600</v>
      </c>
      <c r="D71" s="610">
        <v>0.22</v>
      </c>
      <c r="E71" s="1111">
        <v>8.0185000000000006E-2</v>
      </c>
      <c r="F71" s="611">
        <v>0.36119999999999997</v>
      </c>
      <c r="G71" s="607"/>
      <c r="H71" s="602"/>
      <c r="I71" s="1089"/>
      <c r="J71" s="1112" t="s">
        <v>1361</v>
      </c>
      <c r="K71" s="607">
        <v>100</v>
      </c>
      <c r="L71" s="1113">
        <v>0.61</v>
      </c>
      <c r="M71" s="608">
        <v>0.28999999999999998</v>
      </c>
      <c r="N71" s="894">
        <v>0.52</v>
      </c>
    </row>
    <row r="72" spans="2:14" ht="15.75">
      <c r="B72" s="601" t="s">
        <v>806</v>
      </c>
      <c r="C72" s="1110">
        <v>175</v>
      </c>
      <c r="D72" s="610">
        <v>0.4</v>
      </c>
      <c r="E72" s="1111">
        <v>0.10309499999999999</v>
      </c>
      <c r="F72" s="611">
        <v>0.52976000000000001</v>
      </c>
      <c r="G72" s="607"/>
      <c r="H72" s="602"/>
      <c r="I72" s="1089"/>
      <c r="J72" s="1112" t="s">
        <v>1362</v>
      </c>
      <c r="K72" s="607">
        <v>140</v>
      </c>
      <c r="L72" s="1113">
        <v>0.24</v>
      </c>
      <c r="M72" s="608">
        <v>0.09</v>
      </c>
      <c r="N72" s="894">
        <v>0.47</v>
      </c>
    </row>
    <row r="73" spans="2:14" ht="15.75">
      <c r="B73" s="601" t="s">
        <v>807</v>
      </c>
      <c r="C73" s="1110">
        <v>300</v>
      </c>
      <c r="D73" s="610">
        <v>0.4</v>
      </c>
      <c r="E73" s="1111">
        <v>0.1</v>
      </c>
      <c r="F73" s="611">
        <v>0.53</v>
      </c>
      <c r="G73" s="607"/>
      <c r="H73" s="602"/>
      <c r="I73" s="1089"/>
      <c r="J73" s="1112" t="s">
        <v>1363</v>
      </c>
      <c r="K73" s="607">
        <v>120</v>
      </c>
      <c r="L73" s="1113">
        <v>0.41</v>
      </c>
      <c r="M73" s="608">
        <v>0.1</v>
      </c>
      <c r="N73" s="894">
        <v>0.7</v>
      </c>
    </row>
    <row r="74" spans="2:14" ht="15.75">
      <c r="B74" s="601" t="s">
        <v>1364</v>
      </c>
      <c r="C74" s="1110">
        <v>175</v>
      </c>
      <c r="D74" s="610">
        <v>0.4</v>
      </c>
      <c r="E74" s="1111">
        <v>0.1</v>
      </c>
      <c r="F74" s="611">
        <v>0.53</v>
      </c>
      <c r="G74" s="607"/>
      <c r="H74" s="602"/>
      <c r="I74" s="1089"/>
      <c r="J74" s="1112" t="s">
        <v>1365</v>
      </c>
      <c r="K74" s="607">
        <v>15</v>
      </c>
      <c r="L74" s="1113">
        <v>2.6</v>
      </c>
      <c r="M74" s="608">
        <v>1.1000000000000001</v>
      </c>
      <c r="N74" s="894">
        <v>1.55</v>
      </c>
    </row>
    <row r="75" spans="2:14" ht="15.75">
      <c r="B75" s="601" t="s">
        <v>1366</v>
      </c>
      <c r="C75" s="1110">
        <v>300</v>
      </c>
      <c r="D75" s="610">
        <v>0.4</v>
      </c>
      <c r="E75" s="1111">
        <v>0.1</v>
      </c>
      <c r="F75" s="611">
        <v>0.53</v>
      </c>
      <c r="G75" s="607"/>
      <c r="H75" s="602"/>
      <c r="I75" s="1089"/>
      <c r="J75" s="1112" t="s">
        <v>1367</v>
      </c>
      <c r="K75" s="607">
        <v>113</v>
      </c>
      <c r="L75" s="1113">
        <v>0.23</v>
      </c>
      <c r="M75" s="608">
        <v>0.21</v>
      </c>
      <c r="N75" s="894">
        <v>1.05</v>
      </c>
    </row>
    <row r="76" spans="2:14" ht="15.75">
      <c r="B76" s="601" t="s">
        <v>808</v>
      </c>
      <c r="C76" s="1110">
        <v>140</v>
      </c>
      <c r="D76" s="610">
        <v>0.35</v>
      </c>
      <c r="E76" s="1111">
        <v>8.0185000000000006E-2</v>
      </c>
      <c r="F76" s="611">
        <v>0.60199999999999998</v>
      </c>
      <c r="G76" s="607"/>
      <c r="H76" s="602"/>
      <c r="I76" s="1089"/>
      <c r="J76" s="1112" t="s">
        <v>1368</v>
      </c>
      <c r="K76" s="607">
        <v>200</v>
      </c>
      <c r="L76" s="1113">
        <v>0.37</v>
      </c>
      <c r="M76" s="608">
        <v>0.1</v>
      </c>
      <c r="N76" s="894">
        <v>0.63</v>
      </c>
    </row>
    <row r="77" spans="2:14" ht="15.75">
      <c r="B77" s="601" t="s">
        <v>1369</v>
      </c>
      <c r="C77" s="1110">
        <v>140</v>
      </c>
      <c r="D77" s="610">
        <v>0.35</v>
      </c>
      <c r="E77" s="1111">
        <v>8.0185000000000006E-2</v>
      </c>
      <c r="F77" s="611">
        <v>0.60199999999999998</v>
      </c>
      <c r="G77" s="607"/>
      <c r="H77" s="602"/>
      <c r="I77" s="1089"/>
      <c r="J77" s="1112" t="s">
        <v>1370</v>
      </c>
      <c r="K77" s="607">
        <v>70</v>
      </c>
      <c r="L77" s="1113">
        <v>0.44</v>
      </c>
      <c r="M77" s="608">
        <v>0.19</v>
      </c>
      <c r="N77" s="894">
        <v>0.5</v>
      </c>
    </row>
    <row r="78" spans="2:14" ht="15.75">
      <c r="B78" s="601" t="s">
        <v>809</v>
      </c>
      <c r="C78" s="1110">
        <v>350</v>
      </c>
      <c r="D78" s="610">
        <v>0.19</v>
      </c>
      <c r="E78" s="1111">
        <v>6.8729999999999999E-2</v>
      </c>
      <c r="F78" s="611">
        <v>0.44547999999999999</v>
      </c>
      <c r="G78" s="607"/>
      <c r="H78" s="602"/>
      <c r="I78" s="1089"/>
      <c r="J78" s="1112" t="s">
        <v>1371</v>
      </c>
      <c r="K78" s="607">
        <v>130</v>
      </c>
      <c r="L78" s="1113">
        <v>0.7</v>
      </c>
      <c r="M78" s="608">
        <v>7.0000000000000007E-2</v>
      </c>
      <c r="N78" s="894">
        <v>0.88</v>
      </c>
    </row>
    <row r="79" spans="2:14" ht="15.75">
      <c r="B79" s="601" t="s">
        <v>1372</v>
      </c>
      <c r="C79" s="1110">
        <v>350</v>
      </c>
      <c r="D79" s="610">
        <v>0.19</v>
      </c>
      <c r="E79" s="1111">
        <v>6.8729999999999999E-2</v>
      </c>
      <c r="F79" s="611">
        <v>0.44547999999999999</v>
      </c>
      <c r="G79" s="607"/>
      <c r="H79" s="602"/>
      <c r="I79" s="1089"/>
      <c r="J79" s="1112" t="s">
        <v>1373</v>
      </c>
      <c r="K79" s="607">
        <v>20</v>
      </c>
      <c r="L79" s="1113">
        <v>2.65</v>
      </c>
      <c r="M79" s="608">
        <v>1.1499999999999999</v>
      </c>
      <c r="N79" s="894">
        <v>1.55</v>
      </c>
    </row>
    <row r="80" spans="2:14" ht="15.75">
      <c r="B80" s="601" t="s">
        <v>810</v>
      </c>
      <c r="C80" s="1110">
        <v>300</v>
      </c>
      <c r="D80" s="610">
        <v>0.19</v>
      </c>
      <c r="E80" s="1111">
        <v>6.8729999999999999E-2</v>
      </c>
      <c r="F80" s="611">
        <v>0.44547999999999999</v>
      </c>
      <c r="G80" s="607"/>
      <c r="H80" s="602"/>
      <c r="I80" s="1089"/>
      <c r="J80" s="1112" t="s">
        <v>1374</v>
      </c>
      <c r="K80" s="607">
        <v>150</v>
      </c>
      <c r="L80" s="1113">
        <v>0.23</v>
      </c>
      <c r="M80" s="608">
        <v>0.21</v>
      </c>
      <c r="N80" s="894">
        <v>1.05</v>
      </c>
    </row>
    <row r="81" spans="2:14" ht="15.75">
      <c r="B81" s="601" t="s">
        <v>1375</v>
      </c>
      <c r="C81" s="1110">
        <v>300</v>
      </c>
      <c r="D81" s="610">
        <v>0.19</v>
      </c>
      <c r="E81" s="1111">
        <v>6.8729999999999999E-2</v>
      </c>
      <c r="F81" s="611">
        <v>0.44547999999999999</v>
      </c>
      <c r="G81" s="607"/>
      <c r="H81" s="602"/>
      <c r="I81" s="1089"/>
      <c r="J81" s="1112" t="s">
        <v>1376</v>
      </c>
      <c r="K81" s="607">
        <v>25</v>
      </c>
      <c r="L81" s="1113">
        <v>0.51</v>
      </c>
      <c r="M81" s="608">
        <v>0.13</v>
      </c>
      <c r="N81" s="894">
        <v>0.77</v>
      </c>
    </row>
    <row r="82" spans="2:14" ht="15.75">
      <c r="B82" s="601" t="s">
        <v>1377</v>
      </c>
      <c r="C82" s="1110">
        <v>600</v>
      </c>
      <c r="D82" s="610">
        <v>0.2</v>
      </c>
      <c r="E82" s="1111">
        <v>9.1999999999999998E-2</v>
      </c>
      <c r="F82" s="611">
        <v>0.4</v>
      </c>
      <c r="G82" s="607"/>
      <c r="H82" s="602"/>
      <c r="I82" s="1089"/>
      <c r="J82" s="1112" t="s">
        <v>1378</v>
      </c>
      <c r="K82" s="607">
        <v>550</v>
      </c>
      <c r="L82" s="1113">
        <v>0.37</v>
      </c>
      <c r="M82" s="608">
        <v>0.11</v>
      </c>
      <c r="N82" s="894">
        <v>0.5</v>
      </c>
    </row>
    <row r="83" spans="2:14" ht="15.75">
      <c r="B83" s="601" t="s">
        <v>811</v>
      </c>
      <c r="C83" s="1110">
        <v>600</v>
      </c>
      <c r="D83" s="610">
        <v>0.14000000000000001</v>
      </c>
      <c r="E83" s="1111">
        <v>5.7000000000000002E-2</v>
      </c>
      <c r="F83" s="611">
        <v>0.3</v>
      </c>
      <c r="G83" s="607"/>
      <c r="H83" s="602"/>
      <c r="I83" s="1089"/>
      <c r="J83" s="1112" t="s">
        <v>1379</v>
      </c>
      <c r="K83" s="607">
        <v>120</v>
      </c>
      <c r="L83" s="1113">
        <v>0.21</v>
      </c>
      <c r="M83" s="608">
        <v>0.15</v>
      </c>
      <c r="N83" s="894">
        <v>0.24</v>
      </c>
    </row>
    <row r="84" spans="2:14" ht="15.75">
      <c r="B84" s="601" t="s">
        <v>812</v>
      </c>
      <c r="C84" s="1110">
        <v>350</v>
      </c>
      <c r="D84" s="610">
        <v>0.25</v>
      </c>
      <c r="E84" s="1111">
        <v>0.06</v>
      </c>
      <c r="F84" s="611">
        <v>0.55000000000000004</v>
      </c>
      <c r="G84" s="607"/>
      <c r="H84" s="602"/>
      <c r="I84" s="1089"/>
      <c r="J84" s="1112" t="s">
        <v>1380</v>
      </c>
      <c r="K84" s="607">
        <v>200</v>
      </c>
      <c r="L84" s="1113">
        <v>0.33</v>
      </c>
      <c r="M84" s="608">
        <v>0.11</v>
      </c>
      <c r="N84" s="894">
        <v>0.53</v>
      </c>
    </row>
    <row r="85" spans="2:14" ht="15.75">
      <c r="B85" s="601" t="s">
        <v>813</v>
      </c>
      <c r="C85" s="1110">
        <v>600</v>
      </c>
      <c r="D85" s="610">
        <v>0.2</v>
      </c>
      <c r="E85" s="1111">
        <v>0.06</v>
      </c>
      <c r="F85" s="611">
        <v>0.55000000000000004</v>
      </c>
      <c r="G85" s="607"/>
      <c r="H85" s="602"/>
      <c r="I85" s="1089"/>
      <c r="J85" s="1112" t="s">
        <v>1381</v>
      </c>
      <c r="K85" s="607">
        <v>100</v>
      </c>
      <c r="L85" s="1113">
        <v>0.49</v>
      </c>
      <c r="M85" s="608">
        <v>0.2</v>
      </c>
      <c r="N85" s="894">
        <v>0.79</v>
      </c>
    </row>
    <row r="86" spans="2:14" ht="15.75">
      <c r="B86" s="601" t="s">
        <v>1382</v>
      </c>
      <c r="C86" s="1110">
        <v>350</v>
      </c>
      <c r="D86" s="610">
        <v>0.25</v>
      </c>
      <c r="E86" s="1111">
        <v>0.06</v>
      </c>
      <c r="F86" s="611">
        <v>0.55000000000000004</v>
      </c>
      <c r="G86" s="607"/>
      <c r="H86" s="602"/>
      <c r="I86" s="1089"/>
      <c r="J86" s="1112" t="s">
        <v>1383</v>
      </c>
      <c r="K86" s="607">
        <v>200</v>
      </c>
      <c r="L86" s="1113">
        <v>0.48</v>
      </c>
      <c r="M86" s="608">
        <v>0.14000000000000001</v>
      </c>
      <c r="N86" s="894">
        <v>0.59</v>
      </c>
    </row>
    <row r="87" spans="2:14" ht="15.75">
      <c r="B87" s="601" t="s">
        <v>1384</v>
      </c>
      <c r="C87" s="1110">
        <v>600</v>
      </c>
      <c r="D87" s="610">
        <v>0.2</v>
      </c>
      <c r="E87" s="1111">
        <v>0.06</v>
      </c>
      <c r="F87" s="611">
        <v>0.55000000000000004</v>
      </c>
      <c r="G87" s="607"/>
      <c r="H87" s="602"/>
      <c r="I87" s="1089"/>
      <c r="J87" s="1112" t="s">
        <v>1385</v>
      </c>
      <c r="K87" s="607">
        <v>15</v>
      </c>
      <c r="L87" s="1113">
        <v>2.06</v>
      </c>
      <c r="M87" s="608">
        <v>1.1200000000000001</v>
      </c>
      <c r="N87" s="894">
        <v>0.66</v>
      </c>
    </row>
    <row r="88" spans="2:14" ht="15.75">
      <c r="B88" s="601" t="s">
        <v>814</v>
      </c>
      <c r="C88" s="1110">
        <v>500</v>
      </c>
      <c r="D88" s="610">
        <v>0.18</v>
      </c>
      <c r="E88" s="1111">
        <v>6.8729999999999999E-2</v>
      </c>
      <c r="F88" s="611">
        <v>0.36119999999999997</v>
      </c>
      <c r="G88" s="607"/>
      <c r="H88" s="602"/>
      <c r="I88" s="1089"/>
      <c r="J88" s="1112" t="s">
        <v>1386</v>
      </c>
      <c r="K88" s="607">
        <v>140</v>
      </c>
      <c r="L88" s="1113">
        <v>0.35</v>
      </c>
      <c r="M88" s="608">
        <v>0.14000000000000001</v>
      </c>
      <c r="N88" s="894">
        <v>0.48</v>
      </c>
    </row>
    <row r="89" spans="2:14" ht="15.75">
      <c r="B89" s="601" t="s">
        <v>1387</v>
      </c>
      <c r="C89" s="1110">
        <v>500</v>
      </c>
      <c r="D89" s="610">
        <v>0.18</v>
      </c>
      <c r="E89" s="1111">
        <v>6.8729999999999999E-2</v>
      </c>
      <c r="F89" s="611">
        <v>0.36119999999999997</v>
      </c>
      <c r="G89" s="607"/>
      <c r="H89" s="602"/>
      <c r="I89" s="1089"/>
      <c r="J89" s="1112" t="s">
        <v>1388</v>
      </c>
      <c r="K89" s="607">
        <v>200</v>
      </c>
      <c r="L89" s="1113">
        <v>0.69</v>
      </c>
      <c r="M89" s="608">
        <v>0.22</v>
      </c>
      <c r="N89" s="894">
        <v>0.75</v>
      </c>
    </row>
    <row r="90" spans="2:14" ht="15.75">
      <c r="B90" s="601" t="s">
        <v>815</v>
      </c>
      <c r="C90" s="1110">
        <v>280</v>
      </c>
      <c r="D90" s="610">
        <v>0.25</v>
      </c>
      <c r="E90" s="1111">
        <v>9.1999999999999998E-2</v>
      </c>
      <c r="F90" s="611">
        <v>0.48</v>
      </c>
      <c r="G90" s="607"/>
      <c r="H90" s="602"/>
      <c r="I90" s="1089"/>
      <c r="J90" s="1112" t="s">
        <v>1389</v>
      </c>
      <c r="K90" s="607">
        <v>250</v>
      </c>
      <c r="L90" s="1113">
        <v>0.38</v>
      </c>
      <c r="M90" s="608">
        <v>0.1</v>
      </c>
      <c r="N90" s="894">
        <v>0.64</v>
      </c>
    </row>
    <row r="91" spans="2:14" ht="15.75">
      <c r="B91" s="601" t="s">
        <v>816</v>
      </c>
      <c r="C91" s="1110">
        <v>400</v>
      </c>
      <c r="D91" s="610">
        <v>0.19</v>
      </c>
      <c r="E91" s="1111">
        <v>6.9000000000000006E-2</v>
      </c>
      <c r="F91" s="611">
        <v>0.36119999999999997</v>
      </c>
      <c r="G91" s="607"/>
      <c r="H91" s="602"/>
      <c r="I91" s="1089"/>
      <c r="J91" s="1112" t="s">
        <v>1390</v>
      </c>
      <c r="K91" s="607">
        <v>150</v>
      </c>
      <c r="L91" s="1113">
        <v>0.33</v>
      </c>
      <c r="M91" s="608">
        <v>0.11</v>
      </c>
      <c r="N91" s="894">
        <v>0.53</v>
      </c>
    </row>
    <row r="92" spans="2:14" ht="15.75">
      <c r="B92" s="601" t="s">
        <v>817</v>
      </c>
      <c r="C92" s="1110">
        <v>450</v>
      </c>
      <c r="D92" s="610">
        <v>0.2</v>
      </c>
      <c r="E92" s="1111">
        <v>9.1999999999999998E-2</v>
      </c>
      <c r="F92" s="611">
        <v>0.4</v>
      </c>
      <c r="G92" s="607"/>
      <c r="H92" s="602"/>
      <c r="I92" s="1089"/>
      <c r="J92" s="1112" t="s">
        <v>1391</v>
      </c>
      <c r="K92" s="607">
        <v>25</v>
      </c>
      <c r="L92" s="1113">
        <v>1.59</v>
      </c>
      <c r="M92" s="608">
        <v>0.95</v>
      </c>
      <c r="N92" s="894">
        <v>1.63</v>
      </c>
    </row>
    <row r="93" spans="2:14" ht="15.75">
      <c r="B93" s="601" t="s">
        <v>818</v>
      </c>
      <c r="C93" s="1110">
        <v>300</v>
      </c>
      <c r="D93" s="610">
        <v>0.24</v>
      </c>
      <c r="E93" s="1111">
        <v>9.1999999999999998E-2</v>
      </c>
      <c r="F93" s="611">
        <v>0.4</v>
      </c>
      <c r="G93" s="607"/>
      <c r="H93" s="602"/>
      <c r="I93" s="1089"/>
      <c r="J93" s="1112" t="s">
        <v>1392</v>
      </c>
      <c r="K93" s="607">
        <v>34</v>
      </c>
      <c r="L93" s="1113">
        <v>0.53</v>
      </c>
      <c r="M93" s="608">
        <v>0.68</v>
      </c>
      <c r="N93" s="894">
        <v>2.41</v>
      </c>
    </row>
    <row r="94" spans="2:14" ht="15.75">
      <c r="B94" s="601" t="s">
        <v>819</v>
      </c>
      <c r="C94" s="1110">
        <v>600</v>
      </c>
      <c r="D94" s="610">
        <v>0.2</v>
      </c>
      <c r="E94" s="1111">
        <v>0.11455</v>
      </c>
      <c r="F94" s="611">
        <v>0.30099999999999999</v>
      </c>
      <c r="G94" s="607"/>
      <c r="H94" s="602"/>
      <c r="I94" s="1089"/>
      <c r="J94" s="1112" t="s">
        <v>1393</v>
      </c>
      <c r="K94" s="607">
        <v>300</v>
      </c>
      <c r="L94" s="1113">
        <v>0.24</v>
      </c>
      <c r="M94" s="608">
        <v>7.0000000000000007E-2</v>
      </c>
      <c r="N94" s="894">
        <v>0.35</v>
      </c>
    </row>
    <row r="95" spans="2:14" ht="15.75">
      <c r="B95" s="601" t="s">
        <v>1394</v>
      </c>
      <c r="C95" s="1110">
        <v>300</v>
      </c>
      <c r="D95" s="610">
        <v>0.5</v>
      </c>
      <c r="E95" s="1111">
        <v>0.13746</v>
      </c>
      <c r="F95" s="611">
        <v>0.54179999999999995</v>
      </c>
      <c r="G95" s="607"/>
      <c r="H95" s="602"/>
      <c r="I95" s="1089"/>
      <c r="J95" s="1112" t="s">
        <v>1395</v>
      </c>
      <c r="K95" s="607">
        <v>120</v>
      </c>
      <c r="L95" s="1113">
        <v>0.45</v>
      </c>
      <c r="M95" s="608">
        <v>0.16</v>
      </c>
      <c r="N95" s="894">
        <v>0.8</v>
      </c>
    </row>
    <row r="96" spans="2:14" ht="15.75">
      <c r="B96" s="601" t="s">
        <v>1396</v>
      </c>
      <c r="C96" s="1110">
        <v>200</v>
      </c>
      <c r="D96" s="610">
        <v>0.5</v>
      </c>
      <c r="E96" s="1111">
        <v>0.13746</v>
      </c>
      <c r="F96" s="611">
        <v>0.54179999999999995</v>
      </c>
      <c r="G96" s="607"/>
      <c r="H96" s="602"/>
      <c r="I96" s="1089"/>
      <c r="J96" s="1112" t="s">
        <v>1397</v>
      </c>
      <c r="K96" s="607">
        <v>250</v>
      </c>
      <c r="L96" s="1113">
        <v>0.51</v>
      </c>
      <c r="M96" s="608">
        <v>0.14000000000000001</v>
      </c>
      <c r="N96" s="894">
        <v>0.84</v>
      </c>
    </row>
    <row r="97" spans="2:14" ht="15.75">
      <c r="B97" s="601" t="s">
        <v>1398</v>
      </c>
      <c r="C97" s="1110">
        <v>280</v>
      </c>
      <c r="D97" s="610">
        <v>0.5</v>
      </c>
      <c r="E97" s="1111">
        <v>0.14000000000000001</v>
      </c>
      <c r="F97" s="611">
        <v>0.54</v>
      </c>
      <c r="G97" s="607"/>
      <c r="H97" s="602"/>
      <c r="I97" s="1089"/>
      <c r="J97" s="1112" t="s">
        <v>1399</v>
      </c>
      <c r="K97" s="607">
        <v>13</v>
      </c>
      <c r="L97" s="1113">
        <v>2.06</v>
      </c>
      <c r="M97" s="608">
        <v>1.1200000000000001</v>
      </c>
      <c r="N97" s="894">
        <v>0.66</v>
      </c>
    </row>
    <row r="98" spans="2:14" ht="15.75">
      <c r="B98" s="601" t="s">
        <v>820</v>
      </c>
      <c r="C98" s="1110">
        <v>200</v>
      </c>
      <c r="D98" s="610">
        <v>0.23</v>
      </c>
      <c r="E98" s="1111">
        <v>0.16</v>
      </c>
      <c r="F98" s="611">
        <v>0.38500000000000001</v>
      </c>
      <c r="G98" s="607"/>
      <c r="H98" s="602"/>
      <c r="I98" s="1089"/>
      <c r="J98" s="1112" t="s">
        <v>1400</v>
      </c>
      <c r="K98" s="607">
        <v>140</v>
      </c>
      <c r="L98" s="1113">
        <v>0.35</v>
      </c>
      <c r="M98" s="608">
        <v>0.14000000000000001</v>
      </c>
      <c r="N98" s="894">
        <v>0.48</v>
      </c>
    </row>
    <row r="99" spans="2:14" ht="15.75">
      <c r="B99" s="601" t="s">
        <v>821</v>
      </c>
      <c r="C99" s="1110">
        <v>600</v>
      </c>
      <c r="D99" s="610">
        <v>0.27</v>
      </c>
      <c r="E99" s="1111">
        <v>0.126</v>
      </c>
      <c r="F99" s="611">
        <v>0.56999999999999995</v>
      </c>
      <c r="G99" s="607"/>
      <c r="H99" s="602"/>
      <c r="I99" s="1089"/>
      <c r="J99" s="1112" t="s">
        <v>1401</v>
      </c>
      <c r="K99" s="607">
        <v>240</v>
      </c>
      <c r="L99" s="1113">
        <v>0.45</v>
      </c>
      <c r="M99" s="608">
        <v>0.12</v>
      </c>
      <c r="N99" s="894">
        <v>0.53</v>
      </c>
    </row>
    <row r="100" spans="2:14" ht="15.75">
      <c r="B100" s="601" t="s">
        <v>822</v>
      </c>
      <c r="C100" s="1110">
        <v>650</v>
      </c>
      <c r="D100" s="610">
        <v>0.25</v>
      </c>
      <c r="E100" s="1111">
        <v>0.14891499999999999</v>
      </c>
      <c r="F100" s="611">
        <v>0.54179999999999995</v>
      </c>
      <c r="G100" s="607"/>
      <c r="H100" s="602"/>
      <c r="I100" s="1089"/>
      <c r="J100" s="1112" t="s">
        <v>1402</v>
      </c>
      <c r="K100" s="607">
        <v>160</v>
      </c>
      <c r="L100" s="1113">
        <v>0.45</v>
      </c>
      <c r="M100" s="608">
        <v>0.12</v>
      </c>
      <c r="N100" s="894">
        <v>0.53</v>
      </c>
    </row>
    <row r="101" spans="2:14" ht="15.75">
      <c r="B101" s="601" t="s">
        <v>823</v>
      </c>
      <c r="C101" s="1110">
        <v>500</v>
      </c>
      <c r="D101" s="610">
        <v>0.25</v>
      </c>
      <c r="E101" s="1111">
        <v>0.11455</v>
      </c>
      <c r="F101" s="611">
        <v>0.54179999999999995</v>
      </c>
      <c r="G101" s="607"/>
      <c r="H101" s="602"/>
      <c r="I101" s="1089"/>
      <c r="J101" s="1112" t="s">
        <v>1403</v>
      </c>
      <c r="K101" s="607">
        <v>0</v>
      </c>
      <c r="L101" s="1113">
        <v>0.14000000000000001</v>
      </c>
      <c r="M101" s="608">
        <v>0.04</v>
      </c>
      <c r="N101" s="894">
        <v>0.49</v>
      </c>
    </row>
    <row r="102" spans="2:14" ht="15.75">
      <c r="B102" s="601" t="s">
        <v>1404</v>
      </c>
      <c r="C102" s="1110">
        <v>600</v>
      </c>
      <c r="D102" s="610">
        <v>0.27</v>
      </c>
      <c r="E102" s="1111">
        <v>0.126</v>
      </c>
      <c r="F102" s="611">
        <v>0.56999999999999995</v>
      </c>
      <c r="G102" s="607"/>
      <c r="H102" s="602"/>
      <c r="I102" s="1089"/>
      <c r="J102" s="1112" t="s">
        <v>1405</v>
      </c>
      <c r="K102" s="607">
        <v>400</v>
      </c>
      <c r="L102" s="1113">
        <v>0.42</v>
      </c>
      <c r="M102" s="608">
        <v>0.11</v>
      </c>
      <c r="N102" s="894">
        <v>0.55000000000000004</v>
      </c>
    </row>
    <row r="103" spans="2:14" ht="15.75">
      <c r="B103" s="601" t="s">
        <v>824</v>
      </c>
      <c r="C103" s="1110">
        <v>0</v>
      </c>
      <c r="D103" s="610">
        <v>0.26</v>
      </c>
      <c r="E103" s="1111">
        <v>8.2000000000000003E-2</v>
      </c>
      <c r="F103" s="611">
        <v>0.24</v>
      </c>
      <c r="G103" s="607">
        <v>78</v>
      </c>
      <c r="H103" s="602">
        <v>112.2</v>
      </c>
      <c r="I103" s="1089"/>
      <c r="J103" s="1112" t="s">
        <v>1406</v>
      </c>
      <c r="K103" s="607">
        <v>600</v>
      </c>
      <c r="L103" s="1113">
        <v>0.28999999999999998</v>
      </c>
      <c r="M103" s="608">
        <v>7.0000000000000007E-2</v>
      </c>
      <c r="N103" s="894">
        <v>0.5</v>
      </c>
    </row>
    <row r="104" spans="2:14" ht="15.75">
      <c r="B104" s="601" t="s">
        <v>825</v>
      </c>
      <c r="C104" s="1110">
        <v>0</v>
      </c>
      <c r="D104" s="610">
        <v>0.26</v>
      </c>
      <c r="E104" s="1111">
        <v>8.2000000000000003E-2</v>
      </c>
      <c r="F104" s="611">
        <v>0.24</v>
      </c>
      <c r="G104" s="607">
        <v>78</v>
      </c>
      <c r="H104" s="602">
        <v>184.2</v>
      </c>
      <c r="I104" s="1089"/>
      <c r="J104" s="1112" t="s">
        <v>1407</v>
      </c>
      <c r="K104" s="607">
        <v>50</v>
      </c>
      <c r="L104" s="1113">
        <v>0.3</v>
      </c>
      <c r="M104" s="608">
        <v>0.12</v>
      </c>
      <c r="N104" s="894">
        <v>0.46</v>
      </c>
    </row>
    <row r="105" spans="2:14" ht="15.75">
      <c r="B105" s="601" t="s">
        <v>826</v>
      </c>
      <c r="C105" s="1110">
        <v>20</v>
      </c>
      <c r="D105" s="610">
        <v>0.26</v>
      </c>
      <c r="E105" s="1111">
        <v>8.2000000000000003E-2</v>
      </c>
      <c r="F105" s="611">
        <v>0.24</v>
      </c>
      <c r="G105" s="607">
        <v>78</v>
      </c>
      <c r="H105" s="602">
        <v>184.2</v>
      </c>
      <c r="I105" s="1089"/>
      <c r="J105" s="1112" t="s">
        <v>1408</v>
      </c>
      <c r="K105" s="607">
        <v>450</v>
      </c>
      <c r="L105" s="1113">
        <v>0.28999999999999998</v>
      </c>
      <c r="M105" s="608">
        <v>7.0000000000000007E-2</v>
      </c>
      <c r="N105" s="894">
        <v>0.7</v>
      </c>
    </row>
    <row r="106" spans="2:14" ht="15.75">
      <c r="B106" s="601" t="s">
        <v>827</v>
      </c>
      <c r="C106" s="1110">
        <v>80</v>
      </c>
      <c r="D106" s="610">
        <v>0.26</v>
      </c>
      <c r="E106" s="1111">
        <v>8.2000000000000003E-2</v>
      </c>
      <c r="F106" s="611">
        <v>0.24</v>
      </c>
      <c r="G106" s="607"/>
      <c r="H106" s="602">
        <v>169.8</v>
      </c>
      <c r="I106" s="1089"/>
      <c r="J106" s="1112" t="s">
        <v>1409</v>
      </c>
      <c r="K106" s="607">
        <v>80</v>
      </c>
      <c r="L106" s="1113">
        <v>0.57999999999999996</v>
      </c>
      <c r="M106" s="608">
        <v>0.09</v>
      </c>
      <c r="N106" s="894">
        <v>0.5</v>
      </c>
    </row>
    <row r="107" spans="2:14" ht="15.75">
      <c r="B107" s="601" t="s">
        <v>828</v>
      </c>
      <c r="C107" s="1110">
        <v>100</v>
      </c>
      <c r="D107" s="610">
        <v>0.26</v>
      </c>
      <c r="E107" s="1111">
        <v>8.2000000000000003E-2</v>
      </c>
      <c r="F107" s="611">
        <v>0.24</v>
      </c>
      <c r="G107" s="607"/>
      <c r="H107" s="602">
        <v>42</v>
      </c>
      <c r="I107" s="1089"/>
      <c r="J107" s="1112" t="s">
        <v>1410</v>
      </c>
      <c r="K107" s="607">
        <v>200</v>
      </c>
      <c r="L107" s="1113">
        <v>0.36</v>
      </c>
      <c r="M107" s="608">
        <v>0.13</v>
      </c>
      <c r="N107" s="894">
        <v>0.41</v>
      </c>
    </row>
    <row r="108" spans="2:14" ht="15.75">
      <c r="B108" s="601" t="s">
        <v>829</v>
      </c>
      <c r="C108" s="1110">
        <v>100</v>
      </c>
      <c r="D108" s="610">
        <v>0.26</v>
      </c>
      <c r="E108" s="1111">
        <v>8.2000000000000003E-2</v>
      </c>
      <c r="F108" s="611">
        <v>0.24</v>
      </c>
      <c r="G108" s="607"/>
      <c r="H108" s="602"/>
      <c r="I108" s="1089"/>
      <c r="J108" s="1112" t="s">
        <v>1411</v>
      </c>
      <c r="K108" s="607">
        <v>220</v>
      </c>
      <c r="L108" s="1113">
        <v>0.37</v>
      </c>
      <c r="M108" s="608">
        <v>0.14000000000000001</v>
      </c>
      <c r="N108" s="894">
        <v>1.1299999999999999</v>
      </c>
    </row>
    <row r="109" spans="2:14" ht="15.75">
      <c r="B109" s="601" t="s">
        <v>830</v>
      </c>
      <c r="C109" s="1110">
        <v>100</v>
      </c>
      <c r="D109" s="610">
        <v>0.26</v>
      </c>
      <c r="E109" s="1111">
        <v>8.2000000000000003E-2</v>
      </c>
      <c r="F109" s="611">
        <v>0.24</v>
      </c>
      <c r="G109" s="607"/>
      <c r="H109" s="602"/>
      <c r="I109" s="1089"/>
      <c r="J109" s="1112" t="s">
        <v>1412</v>
      </c>
      <c r="K109" s="607">
        <v>350</v>
      </c>
      <c r="L109" s="1113">
        <v>0.49</v>
      </c>
      <c r="M109" s="608">
        <v>0.11</v>
      </c>
      <c r="N109" s="894">
        <v>0.62</v>
      </c>
    </row>
    <row r="110" spans="2:14" ht="15.75">
      <c r="B110" s="601" t="s">
        <v>831</v>
      </c>
      <c r="C110" s="1110">
        <v>100</v>
      </c>
      <c r="D110" s="610">
        <v>0.26</v>
      </c>
      <c r="E110" s="1111">
        <v>8.2000000000000003E-2</v>
      </c>
      <c r="F110" s="611">
        <v>0.24</v>
      </c>
      <c r="G110" s="607"/>
      <c r="H110" s="602"/>
      <c r="I110" s="1089"/>
      <c r="J110" s="1112" t="s">
        <v>1413</v>
      </c>
      <c r="K110" s="607">
        <v>80</v>
      </c>
      <c r="L110" s="1113">
        <v>0.5</v>
      </c>
      <c r="M110" s="608">
        <v>0.23</v>
      </c>
      <c r="N110" s="894">
        <v>0.64</v>
      </c>
    </row>
    <row r="111" spans="2:14" ht="15.75">
      <c r="B111" s="601" t="s">
        <v>832</v>
      </c>
      <c r="C111" s="1110">
        <v>100</v>
      </c>
      <c r="D111" s="610">
        <v>0.26</v>
      </c>
      <c r="E111" s="1111">
        <v>8.2000000000000003E-2</v>
      </c>
      <c r="F111" s="611">
        <v>0.24</v>
      </c>
      <c r="G111" s="607"/>
      <c r="H111" s="602"/>
      <c r="I111" s="1089"/>
      <c r="J111" s="1112" t="s">
        <v>1414</v>
      </c>
      <c r="K111" s="607">
        <v>80</v>
      </c>
      <c r="L111" s="1113">
        <v>0.61</v>
      </c>
      <c r="M111" s="608">
        <v>0.15</v>
      </c>
      <c r="N111" s="894">
        <v>0.89</v>
      </c>
    </row>
    <row r="112" spans="2:14" ht="15.75">
      <c r="B112" s="601" t="s">
        <v>833</v>
      </c>
      <c r="C112" s="1110">
        <v>100</v>
      </c>
      <c r="D112" s="610">
        <v>0.26</v>
      </c>
      <c r="E112" s="1111">
        <v>8.2000000000000003E-2</v>
      </c>
      <c r="F112" s="611">
        <v>0.24</v>
      </c>
      <c r="G112" s="607"/>
      <c r="H112" s="602"/>
      <c r="I112" s="1089"/>
      <c r="J112" s="1112" t="s">
        <v>1415</v>
      </c>
      <c r="K112" s="607">
        <v>300</v>
      </c>
      <c r="L112" s="1113">
        <v>0.37</v>
      </c>
      <c r="M112" s="608">
        <v>0.08</v>
      </c>
      <c r="N112" s="894">
        <v>0.66</v>
      </c>
    </row>
    <row r="113" spans="2:14" ht="15.75">
      <c r="B113" s="601" t="s">
        <v>834</v>
      </c>
      <c r="C113" s="1110">
        <v>100</v>
      </c>
      <c r="D113" s="610">
        <v>0.26</v>
      </c>
      <c r="E113" s="1111">
        <v>8.2000000000000003E-2</v>
      </c>
      <c r="F113" s="611">
        <v>0.24</v>
      </c>
      <c r="G113" s="607"/>
      <c r="H113" s="602"/>
      <c r="I113" s="1089"/>
      <c r="J113" s="1112" t="s">
        <v>1416</v>
      </c>
      <c r="K113" s="607">
        <v>350</v>
      </c>
      <c r="L113" s="1113">
        <v>0.46</v>
      </c>
      <c r="M113" s="608">
        <v>0.16</v>
      </c>
      <c r="N113" s="894">
        <v>0.77</v>
      </c>
    </row>
    <row r="114" spans="2:14" ht="15.75">
      <c r="B114" s="601" t="s">
        <v>835</v>
      </c>
      <c r="C114" s="1110">
        <v>100</v>
      </c>
      <c r="D114" s="610">
        <v>0.26</v>
      </c>
      <c r="E114" s="1111">
        <v>8.2000000000000003E-2</v>
      </c>
      <c r="F114" s="611">
        <v>0.24</v>
      </c>
      <c r="G114" s="607"/>
      <c r="H114" s="602"/>
      <c r="I114" s="1089"/>
      <c r="J114" s="1112" t="s">
        <v>1417</v>
      </c>
      <c r="K114" s="607">
        <v>120</v>
      </c>
      <c r="L114" s="1113">
        <v>0.27</v>
      </c>
      <c r="M114" s="608">
        <v>0.15</v>
      </c>
      <c r="N114" s="894">
        <v>0.35</v>
      </c>
    </row>
    <row r="115" spans="2:14" ht="15.75">
      <c r="B115" s="601" t="s">
        <v>836</v>
      </c>
      <c r="C115" s="1110">
        <v>130</v>
      </c>
      <c r="D115" s="610">
        <v>0.45</v>
      </c>
      <c r="E115" s="1111">
        <v>0.11</v>
      </c>
      <c r="F115" s="611">
        <v>0.66</v>
      </c>
      <c r="G115" s="607"/>
      <c r="H115" s="602"/>
      <c r="I115" s="1089"/>
      <c r="J115" s="1112" t="s">
        <v>1418</v>
      </c>
      <c r="K115" s="607">
        <v>125</v>
      </c>
      <c r="L115" s="1113">
        <v>0.42</v>
      </c>
      <c r="M115" s="608">
        <v>0.13</v>
      </c>
      <c r="N115" s="894">
        <v>0.73</v>
      </c>
    </row>
    <row r="116" spans="2:14" ht="15.75">
      <c r="B116" s="601" t="s">
        <v>837</v>
      </c>
      <c r="C116" s="1110">
        <v>250</v>
      </c>
      <c r="D116" s="610">
        <v>0.4</v>
      </c>
      <c r="E116" s="1111">
        <v>0.11455</v>
      </c>
      <c r="F116" s="611">
        <v>0.66220000000000001</v>
      </c>
      <c r="G116" s="607"/>
      <c r="H116" s="602"/>
      <c r="I116" s="1089"/>
      <c r="J116" s="1112" t="s">
        <v>1419</v>
      </c>
      <c r="K116" s="607">
        <v>300</v>
      </c>
      <c r="L116" s="1113">
        <v>0.5</v>
      </c>
      <c r="M116" s="608">
        <v>0.13700000000000001</v>
      </c>
      <c r="N116" s="894">
        <v>0.52</v>
      </c>
    </row>
    <row r="117" spans="2:14" ht="15.75">
      <c r="B117" s="601" t="s">
        <v>838</v>
      </c>
      <c r="C117" s="1110">
        <v>300</v>
      </c>
      <c r="D117" s="610">
        <v>0.36</v>
      </c>
      <c r="E117" s="1111">
        <v>0.11455</v>
      </c>
      <c r="F117" s="611">
        <v>0.66</v>
      </c>
      <c r="G117" s="607"/>
      <c r="H117" s="602"/>
      <c r="I117" s="1089"/>
      <c r="J117" s="1112" t="s">
        <v>1420</v>
      </c>
      <c r="K117" s="607">
        <v>200</v>
      </c>
      <c r="L117" s="1113">
        <v>0.5</v>
      </c>
      <c r="M117" s="608">
        <v>0.13700000000000001</v>
      </c>
      <c r="N117" s="894">
        <v>0.52</v>
      </c>
    </row>
    <row r="118" spans="2:14" ht="15.75">
      <c r="B118" s="601" t="s">
        <v>1421</v>
      </c>
      <c r="C118" s="1110">
        <v>250</v>
      </c>
      <c r="D118" s="610">
        <v>0.4</v>
      </c>
      <c r="E118" s="1111">
        <v>0.11455</v>
      </c>
      <c r="F118" s="611">
        <v>0.66220000000000001</v>
      </c>
      <c r="G118" s="607"/>
      <c r="H118" s="602"/>
      <c r="I118" s="1089"/>
      <c r="J118" s="1112" t="s">
        <v>1422</v>
      </c>
      <c r="K118" s="607">
        <v>280</v>
      </c>
      <c r="L118" s="1113">
        <v>0.5</v>
      </c>
      <c r="M118" s="608">
        <v>0.13700000000000001</v>
      </c>
      <c r="N118" s="894">
        <v>0.52</v>
      </c>
    </row>
    <row r="119" spans="2:14" ht="15.75">
      <c r="B119" s="601" t="s">
        <v>839</v>
      </c>
      <c r="C119" s="1110">
        <v>250</v>
      </c>
      <c r="D119" s="610">
        <v>0.25</v>
      </c>
      <c r="E119" s="1111">
        <v>9.1639999999999999E-2</v>
      </c>
      <c r="F119" s="611">
        <v>0.30099999999999999</v>
      </c>
      <c r="G119" s="607"/>
      <c r="H119" s="602"/>
      <c r="I119" s="1089"/>
      <c r="J119" s="1112" t="s">
        <v>1423</v>
      </c>
      <c r="K119" s="607">
        <v>300</v>
      </c>
      <c r="L119" s="1113">
        <v>0.4</v>
      </c>
      <c r="M119" s="608">
        <v>0.11</v>
      </c>
      <c r="N119" s="894">
        <v>0.5</v>
      </c>
    </row>
    <row r="120" spans="2:14" ht="15.75">
      <c r="B120" s="601" t="s">
        <v>1424</v>
      </c>
      <c r="C120" s="1110">
        <v>400</v>
      </c>
      <c r="D120" s="610">
        <v>0.39</v>
      </c>
      <c r="E120" s="1111">
        <v>0.15</v>
      </c>
      <c r="F120" s="611">
        <v>0.67</v>
      </c>
      <c r="G120" s="607"/>
      <c r="H120" s="602"/>
      <c r="I120" s="1089"/>
      <c r="J120" s="1112" t="s">
        <v>1425</v>
      </c>
      <c r="K120" s="607">
        <v>15</v>
      </c>
      <c r="L120" s="1113">
        <v>5</v>
      </c>
      <c r="M120" s="608">
        <v>1.77</v>
      </c>
      <c r="N120" s="894">
        <v>0.93</v>
      </c>
    </row>
    <row r="121" spans="2:14" ht="15.75">
      <c r="B121" s="601" t="s">
        <v>840</v>
      </c>
      <c r="C121" s="1110">
        <v>150</v>
      </c>
      <c r="D121" s="610">
        <v>0.45</v>
      </c>
      <c r="E121" s="1111">
        <v>0.24060000000000001</v>
      </c>
      <c r="F121" s="611">
        <v>0.66220000000000001</v>
      </c>
      <c r="G121" s="607"/>
      <c r="H121" s="602"/>
      <c r="I121" s="1089"/>
      <c r="J121" s="1112" t="s">
        <v>1426</v>
      </c>
      <c r="K121" s="607">
        <v>2</v>
      </c>
      <c r="L121" s="1113">
        <v>0.7</v>
      </c>
      <c r="M121" s="608">
        <v>0.4</v>
      </c>
      <c r="N121" s="894">
        <v>2.5</v>
      </c>
    </row>
    <row r="122" spans="2:14" ht="15.75">
      <c r="B122" s="601" t="s">
        <v>1427</v>
      </c>
      <c r="C122" s="1110">
        <v>2000</v>
      </c>
      <c r="D122" s="610">
        <v>0.17</v>
      </c>
      <c r="E122" s="1111">
        <v>0.05</v>
      </c>
      <c r="F122" s="611">
        <v>0.39</v>
      </c>
      <c r="G122" s="607"/>
      <c r="H122" s="602"/>
      <c r="I122" s="1089"/>
      <c r="J122" s="1112" t="s">
        <v>1428</v>
      </c>
      <c r="K122" s="607">
        <v>15</v>
      </c>
      <c r="L122" s="1113">
        <v>5</v>
      </c>
      <c r="M122" s="608">
        <v>1.77</v>
      </c>
      <c r="N122" s="894">
        <v>0.93</v>
      </c>
    </row>
    <row r="123" spans="2:14" ht="15.75">
      <c r="B123" s="601" t="s">
        <v>841</v>
      </c>
      <c r="C123" s="1110">
        <v>700</v>
      </c>
      <c r="D123" s="610">
        <v>0.2</v>
      </c>
      <c r="E123" s="1111">
        <v>7.3312000000000002E-2</v>
      </c>
      <c r="F123" s="611">
        <v>0.31303999999999998</v>
      </c>
      <c r="G123" s="607"/>
      <c r="H123" s="602"/>
      <c r="I123" s="1089"/>
      <c r="J123" s="1112" t="s">
        <v>1429</v>
      </c>
      <c r="K123" s="607">
        <v>2</v>
      </c>
      <c r="L123" s="1113">
        <v>0.7</v>
      </c>
      <c r="M123" s="608">
        <v>0.4</v>
      </c>
      <c r="N123" s="894">
        <v>2.5</v>
      </c>
    </row>
    <row r="124" spans="2:14" ht="15.75">
      <c r="B124" s="601" t="s">
        <v>842</v>
      </c>
      <c r="C124" s="1110">
        <v>1000</v>
      </c>
      <c r="D124" s="610">
        <v>0.2</v>
      </c>
      <c r="E124" s="1111">
        <v>7.3312000000000002E-2</v>
      </c>
      <c r="F124" s="611">
        <v>0.31303999999999998</v>
      </c>
      <c r="G124" s="607"/>
      <c r="H124" s="602"/>
      <c r="I124" s="1089"/>
      <c r="J124" s="1112" t="s">
        <v>1430</v>
      </c>
      <c r="K124" s="607">
        <v>500</v>
      </c>
      <c r="L124" s="1113">
        <v>0.26</v>
      </c>
      <c r="M124" s="608">
        <v>0.1</v>
      </c>
      <c r="N124" s="894">
        <v>0.54</v>
      </c>
    </row>
    <row r="125" spans="2:14" ht="15.75">
      <c r="B125" s="601" t="s">
        <v>843</v>
      </c>
      <c r="C125" s="1110">
        <v>400</v>
      </c>
      <c r="D125" s="610">
        <v>0.35</v>
      </c>
      <c r="E125" s="1111">
        <v>0.11455</v>
      </c>
      <c r="F125" s="611">
        <v>0.38528000000000001</v>
      </c>
      <c r="G125" s="607"/>
      <c r="H125" s="602"/>
      <c r="I125" s="1089"/>
      <c r="J125" s="1112" t="s">
        <v>1431</v>
      </c>
      <c r="K125" s="607">
        <v>50</v>
      </c>
      <c r="L125" s="1113">
        <v>0.56000000000000005</v>
      </c>
      <c r="M125" s="608">
        <v>0.12</v>
      </c>
      <c r="N125" s="894">
        <v>0.82</v>
      </c>
    </row>
    <row r="126" spans="2:14" ht="15.75">
      <c r="B126" s="601" t="s">
        <v>844</v>
      </c>
      <c r="C126" s="1110">
        <v>650</v>
      </c>
      <c r="D126" s="610">
        <v>0.16</v>
      </c>
      <c r="E126" s="1111">
        <v>5.9565999999999994E-2</v>
      </c>
      <c r="F126" s="611">
        <v>0.20468</v>
      </c>
      <c r="G126" s="607"/>
      <c r="H126" s="602"/>
      <c r="I126" s="1089"/>
      <c r="J126" s="1112" t="s">
        <v>1432</v>
      </c>
      <c r="K126" s="607">
        <v>7</v>
      </c>
      <c r="L126" s="1113">
        <v>0.95</v>
      </c>
      <c r="M126" s="608">
        <v>0.2</v>
      </c>
      <c r="N126" s="894">
        <v>0.45</v>
      </c>
    </row>
    <row r="127" spans="2:14" ht="15.75">
      <c r="B127" s="601" t="s">
        <v>845</v>
      </c>
      <c r="C127" s="1110">
        <v>200</v>
      </c>
      <c r="D127" s="610">
        <v>0.35</v>
      </c>
      <c r="E127" s="1111">
        <v>0.16037000000000001</v>
      </c>
      <c r="F127" s="611">
        <v>0.26488</v>
      </c>
      <c r="G127" s="607"/>
      <c r="H127" s="602"/>
      <c r="I127" s="1089"/>
      <c r="J127" s="1112" t="s">
        <v>1433</v>
      </c>
      <c r="K127" s="607">
        <v>20</v>
      </c>
      <c r="L127" s="1113">
        <v>0.95</v>
      </c>
      <c r="M127" s="608">
        <v>0.2</v>
      </c>
      <c r="N127" s="894">
        <v>0.45</v>
      </c>
    </row>
    <row r="128" spans="2:14" ht="15.75">
      <c r="B128" s="601" t="s">
        <v>846</v>
      </c>
      <c r="C128" s="1110">
        <v>680</v>
      </c>
      <c r="D128" s="610">
        <v>0.2</v>
      </c>
      <c r="E128" s="1111">
        <v>0.06</v>
      </c>
      <c r="F128" s="611">
        <v>0.24080000000000001</v>
      </c>
      <c r="G128" s="607"/>
      <c r="H128" s="602"/>
      <c r="I128" s="1089"/>
      <c r="J128" s="1112" t="s">
        <v>1434</v>
      </c>
      <c r="K128" s="607">
        <v>300</v>
      </c>
      <c r="L128" s="1113">
        <v>0.31</v>
      </c>
      <c r="M128" s="608">
        <v>0.1</v>
      </c>
      <c r="N128" s="894">
        <v>0.45</v>
      </c>
    </row>
    <row r="129" spans="2:14" ht="16.5" thickBot="1">
      <c r="B129" s="601" t="s">
        <v>847</v>
      </c>
      <c r="C129" s="1110">
        <v>600</v>
      </c>
      <c r="D129" s="1117">
        <v>0.18</v>
      </c>
      <c r="E129" s="1118">
        <v>0.08</v>
      </c>
      <c r="F129" s="1119">
        <v>0.24</v>
      </c>
      <c r="G129" s="1120"/>
      <c r="H129" s="893"/>
      <c r="I129" s="1089"/>
      <c r="J129" s="1112" t="s">
        <v>1435</v>
      </c>
      <c r="K129" s="607">
        <v>50</v>
      </c>
      <c r="L129" s="1113">
        <v>0.57999999999999996</v>
      </c>
      <c r="M129" s="608">
        <v>0.14000000000000001</v>
      </c>
      <c r="N129" s="894">
        <v>0.49</v>
      </c>
    </row>
    <row r="130" spans="2:14" ht="15.75">
      <c r="B130" s="1089"/>
      <c r="C130" s="1089"/>
      <c r="D130" s="1089"/>
      <c r="E130" s="1089"/>
      <c r="F130" s="1089"/>
      <c r="G130" s="1089"/>
      <c r="H130" s="1089"/>
      <c r="I130" s="1089"/>
      <c r="J130" s="1112" t="s">
        <v>1436</v>
      </c>
      <c r="K130" s="607">
        <v>150</v>
      </c>
      <c r="L130" s="1113">
        <v>0.57999999999999996</v>
      </c>
      <c r="M130" s="608">
        <v>0.14000000000000001</v>
      </c>
      <c r="N130" s="894">
        <v>0.49</v>
      </c>
    </row>
    <row r="131" spans="2:14" ht="15.75">
      <c r="B131" s="1089"/>
      <c r="C131" s="1089"/>
      <c r="D131" s="1089"/>
      <c r="E131" s="1089"/>
      <c r="F131" s="1089"/>
      <c r="G131" s="1089"/>
      <c r="H131" s="1089"/>
      <c r="I131" s="1089"/>
      <c r="J131" s="1112" t="s">
        <v>1437</v>
      </c>
      <c r="K131" s="607">
        <v>300</v>
      </c>
      <c r="L131" s="1113">
        <v>0.44</v>
      </c>
      <c r="M131" s="608">
        <v>0.13</v>
      </c>
      <c r="N131" s="894">
        <v>0.83</v>
      </c>
    </row>
    <row r="132" spans="2:14" ht="15.75">
      <c r="B132" s="1089"/>
      <c r="C132" s="1089"/>
      <c r="D132" s="1089"/>
      <c r="E132" s="1089"/>
      <c r="F132" s="1089"/>
      <c r="G132" s="1089"/>
      <c r="H132" s="1089"/>
      <c r="I132" s="1089"/>
      <c r="J132" s="1112" t="s">
        <v>1438</v>
      </c>
      <c r="K132" s="607">
        <v>50</v>
      </c>
      <c r="L132" s="1113">
        <v>0.46</v>
      </c>
      <c r="M132" s="608">
        <v>0.14000000000000001</v>
      </c>
      <c r="N132" s="894">
        <v>0.5</v>
      </c>
    </row>
    <row r="133" spans="2:14" ht="15.75">
      <c r="B133" s="1089"/>
      <c r="C133" s="1089"/>
      <c r="D133" s="1089"/>
      <c r="E133" s="1089"/>
      <c r="F133" s="1089"/>
      <c r="G133" s="1089"/>
      <c r="H133" s="1089"/>
      <c r="I133" s="1089"/>
      <c r="J133" s="1112" t="s">
        <v>1439</v>
      </c>
      <c r="K133" s="607">
        <v>150</v>
      </c>
      <c r="L133" s="1113">
        <v>0.46</v>
      </c>
      <c r="M133" s="608">
        <v>0.14000000000000001</v>
      </c>
      <c r="N133" s="894">
        <v>0.5</v>
      </c>
    </row>
    <row r="134" spans="2:14" ht="15.75">
      <c r="B134" s="1089"/>
      <c r="C134" s="1089"/>
      <c r="D134" s="1089"/>
      <c r="E134" s="1089"/>
      <c r="F134" s="1089"/>
      <c r="G134" s="1089"/>
      <c r="H134" s="1089"/>
      <c r="I134" s="1089"/>
      <c r="J134" s="1112" t="s">
        <v>1440</v>
      </c>
      <c r="K134" s="607">
        <v>200</v>
      </c>
      <c r="L134" s="1113">
        <v>0.33</v>
      </c>
      <c r="M134" s="608">
        <v>0.11</v>
      </c>
      <c r="N134" s="894">
        <v>0.53</v>
      </c>
    </row>
    <row r="135" spans="2:14" ht="15.75">
      <c r="B135" s="1089"/>
      <c r="C135" s="1089"/>
      <c r="D135" s="1089"/>
      <c r="E135" s="1089"/>
      <c r="F135" s="1089"/>
      <c r="G135" s="1089"/>
      <c r="H135" s="1089"/>
      <c r="I135" s="1089"/>
      <c r="J135" s="1112" t="s">
        <v>1441</v>
      </c>
      <c r="K135" s="607">
        <v>350</v>
      </c>
      <c r="L135" s="1113">
        <v>0.57999999999999996</v>
      </c>
      <c r="M135" s="608">
        <v>0.14000000000000001</v>
      </c>
      <c r="N135" s="894">
        <v>0.41</v>
      </c>
    </row>
    <row r="136" spans="2:14" ht="15.75">
      <c r="B136" s="1089"/>
      <c r="C136" s="1089"/>
      <c r="D136" s="1089"/>
      <c r="E136" s="1089"/>
      <c r="F136" s="1089"/>
      <c r="G136" s="1089"/>
      <c r="H136" s="1089"/>
      <c r="I136" s="1089"/>
      <c r="J136" s="1112" t="s">
        <v>1442</v>
      </c>
      <c r="K136" s="607">
        <v>15</v>
      </c>
      <c r="L136" s="1113">
        <v>3.6</v>
      </c>
      <c r="M136" s="608">
        <v>1.71</v>
      </c>
      <c r="N136" s="894">
        <v>0.92</v>
      </c>
    </row>
    <row r="137" spans="2:14" ht="15.75">
      <c r="B137" s="1089"/>
      <c r="C137" s="1089"/>
      <c r="D137" s="1089"/>
      <c r="E137" s="1089"/>
      <c r="F137" s="1089"/>
      <c r="G137" s="1089"/>
      <c r="H137" s="1089"/>
      <c r="I137" s="1089"/>
      <c r="J137" s="1112" t="s">
        <v>1443</v>
      </c>
      <c r="K137" s="607">
        <v>15</v>
      </c>
      <c r="L137" s="1113">
        <v>0.7</v>
      </c>
      <c r="M137" s="608">
        <v>0.28999999999999998</v>
      </c>
      <c r="N137" s="894">
        <v>2.1</v>
      </c>
    </row>
    <row r="138" spans="2:14" ht="15.75">
      <c r="B138" s="1089"/>
      <c r="C138" s="1089"/>
      <c r="D138" s="1089"/>
      <c r="E138" s="1089"/>
      <c r="F138" s="1089"/>
      <c r="G138" s="1089"/>
      <c r="H138" s="1089"/>
      <c r="I138" s="1089"/>
      <c r="J138" s="1112" t="s">
        <v>1444</v>
      </c>
      <c r="K138" s="607">
        <v>150</v>
      </c>
      <c r="L138" s="1113">
        <v>0.44</v>
      </c>
      <c r="M138" s="608">
        <v>0.12</v>
      </c>
      <c r="N138" s="894">
        <v>0.77</v>
      </c>
    </row>
    <row r="139" spans="2:14" ht="15.75">
      <c r="B139" s="1089"/>
      <c r="C139" s="1089"/>
      <c r="D139" s="1089"/>
      <c r="E139" s="1089"/>
      <c r="F139" s="1089"/>
      <c r="G139" s="1089"/>
      <c r="H139" s="1089"/>
      <c r="I139" s="1089"/>
      <c r="J139" s="1112" t="s">
        <v>1445</v>
      </c>
      <c r="K139" s="607">
        <v>120</v>
      </c>
      <c r="L139" s="1113">
        <v>0.73</v>
      </c>
      <c r="M139" s="608">
        <v>0.46</v>
      </c>
      <c r="N139" s="894">
        <v>0.55000000000000004</v>
      </c>
    </row>
    <row r="140" spans="2:14" ht="15.75">
      <c r="B140" s="1089"/>
      <c r="C140" s="1089"/>
      <c r="D140" s="1089"/>
      <c r="E140" s="1089"/>
      <c r="F140" s="1089"/>
      <c r="G140" s="1089"/>
      <c r="H140" s="1089"/>
      <c r="I140" s="1089"/>
      <c r="J140" s="1112" t="s">
        <v>1446</v>
      </c>
      <c r="K140" s="607">
        <v>40</v>
      </c>
      <c r="L140" s="1113">
        <v>0.56999999999999995</v>
      </c>
      <c r="M140" s="608">
        <v>0.25</v>
      </c>
      <c r="N140" s="894">
        <v>0.49</v>
      </c>
    </row>
    <row r="141" spans="2:14" ht="15.75">
      <c r="B141" s="1089"/>
      <c r="C141" s="1089"/>
      <c r="D141" s="1089"/>
      <c r="E141" s="1089"/>
      <c r="F141" s="1089"/>
      <c r="G141" s="1089"/>
      <c r="H141" s="1089"/>
      <c r="I141" s="1089"/>
      <c r="J141" s="1112" t="s">
        <v>1447</v>
      </c>
      <c r="K141" s="607">
        <v>200</v>
      </c>
      <c r="L141" s="1113">
        <v>0.54</v>
      </c>
      <c r="M141" s="608">
        <v>0.19</v>
      </c>
      <c r="N141" s="894">
        <v>0.79</v>
      </c>
    </row>
    <row r="142" spans="2:14" ht="15.75">
      <c r="B142" s="1089"/>
      <c r="C142" s="1089"/>
      <c r="D142" s="1089"/>
      <c r="E142" s="1089"/>
      <c r="F142" s="1089"/>
      <c r="G142" s="1089"/>
      <c r="H142" s="1089"/>
      <c r="I142" s="1089"/>
      <c r="J142" s="1112" t="s">
        <v>1448</v>
      </c>
      <c r="K142" s="607">
        <v>300</v>
      </c>
      <c r="L142" s="1113">
        <v>0.39</v>
      </c>
      <c r="M142" s="608">
        <v>0.17</v>
      </c>
      <c r="N142" s="894">
        <v>0.67</v>
      </c>
    </row>
    <row r="143" spans="2:14" ht="15.75">
      <c r="B143" s="1089"/>
      <c r="C143" s="1089"/>
      <c r="D143" s="1089"/>
      <c r="E143" s="1089"/>
      <c r="F143" s="1089"/>
      <c r="G143" s="1089"/>
      <c r="H143" s="1089"/>
      <c r="I143" s="1089"/>
      <c r="J143" s="1112" t="s">
        <v>1449</v>
      </c>
      <c r="K143" s="607">
        <v>150</v>
      </c>
      <c r="L143" s="1113">
        <v>0.42</v>
      </c>
      <c r="M143" s="608">
        <v>0.1</v>
      </c>
      <c r="N143" s="894">
        <v>0.56000000000000005</v>
      </c>
    </row>
    <row r="144" spans="2:14" ht="15.75">
      <c r="B144" s="1089"/>
      <c r="C144" s="1089"/>
      <c r="D144" s="1089"/>
      <c r="E144" s="1089"/>
      <c r="F144" s="1089"/>
      <c r="G144" s="1089"/>
      <c r="H144" s="1089"/>
      <c r="I144" s="1089"/>
      <c r="J144" s="1112" t="s">
        <v>1450</v>
      </c>
      <c r="K144" s="607">
        <v>300</v>
      </c>
      <c r="L144" s="1113">
        <v>0.49</v>
      </c>
      <c r="M144" s="608">
        <v>0.14000000000000001</v>
      </c>
      <c r="N144" s="894">
        <v>0.76</v>
      </c>
    </row>
    <row r="145" spans="2:14" ht="15.75">
      <c r="B145" s="1089"/>
      <c r="C145" s="1089"/>
      <c r="D145" s="1089"/>
      <c r="E145" s="1089"/>
      <c r="F145" s="1089"/>
      <c r="G145" s="1089"/>
      <c r="H145" s="1089"/>
      <c r="I145" s="1089"/>
      <c r="J145" s="1112" t="s">
        <v>1451</v>
      </c>
      <c r="K145" s="607">
        <v>100</v>
      </c>
      <c r="L145" s="1113">
        <v>0.3</v>
      </c>
      <c r="M145" s="608">
        <v>0.11</v>
      </c>
      <c r="N145" s="894">
        <v>0.97</v>
      </c>
    </row>
    <row r="146" spans="2:14" ht="16.5" thickBot="1">
      <c r="B146" s="1089"/>
      <c r="C146" s="1089"/>
      <c r="D146" s="1089"/>
      <c r="E146" s="1089"/>
      <c r="F146" s="1089"/>
      <c r="G146" s="1089"/>
      <c r="H146" s="1089"/>
      <c r="I146" s="1089"/>
      <c r="J146" s="1112" t="s">
        <v>1452</v>
      </c>
      <c r="K146" s="607">
        <v>200</v>
      </c>
      <c r="L146" s="1121">
        <v>0.72</v>
      </c>
      <c r="M146" s="1122">
        <v>0.17</v>
      </c>
      <c r="N146" s="1123">
        <v>0.88</v>
      </c>
    </row>
  </sheetData>
  <mergeCells count="10">
    <mergeCell ref="B3:N4"/>
    <mergeCell ref="B5:N5"/>
    <mergeCell ref="B7:B9"/>
    <mergeCell ref="D7:F7"/>
    <mergeCell ref="G7:H7"/>
    <mergeCell ref="J7:J9"/>
    <mergeCell ref="L7:N7"/>
    <mergeCell ref="D8:F8"/>
    <mergeCell ref="G8:H8"/>
    <mergeCell ref="L8:N8"/>
  </mergeCells>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theme="0"/>
  </sheetPr>
  <dimension ref="A1:AF145"/>
  <sheetViews>
    <sheetView zoomScale="90" zoomScaleNormal="90" workbookViewId="0">
      <selection activeCell="R106" sqref="R106"/>
    </sheetView>
  </sheetViews>
  <sheetFormatPr baseColWidth="10" defaultRowHeight="15"/>
  <cols>
    <col min="1" max="1" width="11.5703125" customWidth="1"/>
    <col min="2" max="2" width="43.140625" customWidth="1"/>
    <col min="3" max="3" width="8" bestFit="1" customWidth="1"/>
    <col min="4" max="4" width="10" customWidth="1"/>
    <col min="5" max="5" width="10.5703125" customWidth="1"/>
    <col min="6" max="6" width="9.85546875" customWidth="1"/>
    <col min="7" max="7" width="23.85546875" customWidth="1"/>
    <col min="8" max="8" width="26" customWidth="1"/>
    <col min="9" max="9" width="10.5703125" customWidth="1"/>
    <col min="10" max="10" width="23.140625" bestFit="1" customWidth="1"/>
    <col min="11" max="11" width="18.5703125" customWidth="1"/>
    <col min="13" max="13" width="37.5703125" bestFit="1" customWidth="1"/>
    <col min="14" max="14" width="11.7109375" customWidth="1"/>
    <col min="16" max="16" width="11.5703125" customWidth="1"/>
    <col min="17" max="17" width="10.5703125" customWidth="1"/>
    <col min="19" max="19" width="26.28515625" customWidth="1"/>
    <col min="20" max="20" width="10" customWidth="1"/>
    <col min="21" max="21" width="19.85546875" customWidth="1"/>
    <col min="25" max="25" width="26" customWidth="1"/>
  </cols>
  <sheetData>
    <row r="1" spans="2:32" ht="22.5" customHeight="1">
      <c r="B1" s="1562" t="s">
        <v>673</v>
      </c>
      <c r="C1" s="1563"/>
      <c r="D1" s="1563"/>
      <c r="E1" s="1563"/>
      <c r="F1" s="1564"/>
      <c r="G1" s="1554" t="s">
        <v>179</v>
      </c>
      <c r="H1" s="1554"/>
      <c r="I1" s="1554"/>
      <c r="R1" s="1554" t="s">
        <v>179</v>
      </c>
      <c r="S1" s="1554"/>
      <c r="T1" s="1554"/>
    </row>
    <row r="2" spans="2:32" ht="33" customHeight="1">
      <c r="B2" s="1565"/>
      <c r="C2" s="1565"/>
      <c r="D2" s="1565"/>
      <c r="E2" s="1565"/>
      <c r="F2" s="1566"/>
      <c r="G2" s="12"/>
      <c r="H2" s="528" t="s">
        <v>177</v>
      </c>
      <c r="I2" s="528"/>
      <c r="J2" s="103" t="s">
        <v>180</v>
      </c>
      <c r="M2" s="1567" t="s">
        <v>455</v>
      </c>
      <c r="N2" s="1567"/>
      <c r="O2" s="1567"/>
      <c r="P2" s="1567"/>
      <c r="R2" s="514"/>
      <c r="S2" s="548" t="s">
        <v>177</v>
      </c>
      <c r="T2" s="544"/>
      <c r="U2" s="521" t="s">
        <v>180</v>
      </c>
    </row>
    <row r="3" spans="2:32" ht="33.75" customHeight="1">
      <c r="B3" s="7" t="s">
        <v>104</v>
      </c>
      <c r="C3" s="12"/>
      <c r="D3" s="1555" t="s">
        <v>49</v>
      </c>
      <c r="E3" s="1556"/>
      <c r="F3" s="1556"/>
      <c r="G3" s="1558" t="s">
        <v>192</v>
      </c>
      <c r="H3" s="1387" t="s">
        <v>687</v>
      </c>
      <c r="I3" s="1561"/>
      <c r="J3" s="1559" t="s">
        <v>178</v>
      </c>
      <c r="M3" s="7" t="s">
        <v>104</v>
      </c>
      <c r="N3" s="12"/>
      <c r="O3" s="1555" t="s">
        <v>49</v>
      </c>
      <c r="P3" s="1556"/>
      <c r="Q3" s="1556"/>
      <c r="R3" s="1558" t="s">
        <v>192</v>
      </c>
      <c r="S3" s="1387" t="s">
        <v>687</v>
      </c>
      <c r="T3" s="1561"/>
      <c r="U3" s="1559" t="s">
        <v>178</v>
      </c>
    </row>
    <row r="4" spans="2:32" ht="27.75" customHeight="1">
      <c r="B4" s="8"/>
      <c r="C4" s="80" t="s">
        <v>48</v>
      </c>
      <c r="D4" s="80" t="s">
        <v>16</v>
      </c>
      <c r="E4" s="80" t="s">
        <v>36</v>
      </c>
      <c r="F4" s="35" t="s">
        <v>37</v>
      </c>
      <c r="G4" s="1558"/>
      <c r="H4" s="1387"/>
      <c r="I4" s="1561"/>
      <c r="J4" s="1560"/>
      <c r="M4" s="8"/>
      <c r="N4" s="512" t="s">
        <v>48</v>
      </c>
      <c r="O4" s="512" t="s">
        <v>16</v>
      </c>
      <c r="P4" s="512" t="s">
        <v>36</v>
      </c>
      <c r="Q4" s="518" t="s">
        <v>37</v>
      </c>
      <c r="R4" s="1558"/>
      <c r="S4" s="1387"/>
      <c r="T4" s="1561"/>
      <c r="U4" s="1560"/>
      <c r="AE4" s="32"/>
      <c r="AF4" s="32"/>
    </row>
    <row r="5" spans="2:32" ht="15.75" customHeight="1">
      <c r="B5" s="8" t="s">
        <v>163</v>
      </c>
      <c r="C5" s="96">
        <v>0</v>
      </c>
      <c r="D5" s="96">
        <v>0</v>
      </c>
      <c r="E5" s="96">
        <v>0</v>
      </c>
      <c r="F5" s="96">
        <v>0</v>
      </c>
      <c r="G5" s="94">
        <v>0</v>
      </c>
      <c r="H5" s="14">
        <v>0</v>
      </c>
      <c r="I5" s="14"/>
      <c r="J5" s="95">
        <v>0</v>
      </c>
      <c r="M5" s="8" t="s">
        <v>163</v>
      </c>
      <c r="N5" s="633">
        <v>0</v>
      </c>
      <c r="O5" s="633">
        <v>0</v>
      </c>
      <c r="P5" s="633">
        <v>0</v>
      </c>
      <c r="Q5" s="633">
        <v>0</v>
      </c>
      <c r="R5" s="632">
        <v>0</v>
      </c>
      <c r="S5" s="634">
        <v>0</v>
      </c>
      <c r="T5" s="634"/>
      <c r="U5" s="631">
        <v>0</v>
      </c>
      <c r="AE5" s="30"/>
      <c r="AF5" s="32"/>
    </row>
    <row r="6" spans="2:32" ht="15.75" customHeight="1">
      <c r="B6" s="8" t="s">
        <v>667</v>
      </c>
      <c r="C6" s="96">
        <v>7.5</v>
      </c>
      <c r="D6" s="96">
        <v>0.36</v>
      </c>
      <c r="E6" s="96">
        <v>0.15</v>
      </c>
      <c r="F6" s="96">
        <v>0.47</v>
      </c>
      <c r="G6" s="14">
        <v>11.8</v>
      </c>
      <c r="H6" s="14">
        <v>88.2</v>
      </c>
      <c r="I6" s="14"/>
      <c r="J6" s="3">
        <v>10</v>
      </c>
      <c r="M6" s="8" t="s">
        <v>667</v>
      </c>
      <c r="N6" s="633">
        <v>7.5</v>
      </c>
      <c r="O6" s="633">
        <v>0.36</v>
      </c>
      <c r="P6" s="633">
        <v>0.15</v>
      </c>
      <c r="Q6" s="633">
        <v>0.47</v>
      </c>
      <c r="R6" s="634">
        <v>11.8</v>
      </c>
      <c r="S6" s="634">
        <v>88.2</v>
      </c>
      <c r="T6" s="634"/>
      <c r="U6" s="3">
        <v>10</v>
      </c>
      <c r="AE6" s="30"/>
      <c r="AF6" s="32"/>
    </row>
    <row r="7" spans="2:32" ht="15.75" customHeight="1">
      <c r="B7" s="236" t="s">
        <v>669</v>
      </c>
      <c r="C7" s="98">
        <v>7.5</v>
      </c>
      <c r="D7" s="98">
        <v>0.36</v>
      </c>
      <c r="E7" s="98">
        <v>0.15</v>
      </c>
      <c r="F7" s="98">
        <v>0.47</v>
      </c>
      <c r="G7" s="49">
        <v>11.8</v>
      </c>
      <c r="H7" s="49">
        <v>88.2</v>
      </c>
      <c r="I7" s="49"/>
      <c r="J7" s="867">
        <v>10</v>
      </c>
      <c r="M7" s="236" t="s">
        <v>669</v>
      </c>
      <c r="N7" s="256">
        <v>7.5</v>
      </c>
      <c r="O7" s="256">
        <v>0.36</v>
      </c>
      <c r="P7" s="256">
        <v>0.15</v>
      </c>
      <c r="Q7" s="256">
        <v>0.47</v>
      </c>
      <c r="R7" s="49">
        <v>11.8</v>
      </c>
      <c r="S7" s="49">
        <v>88.2</v>
      </c>
      <c r="T7" s="49"/>
      <c r="U7" s="867">
        <v>10</v>
      </c>
      <c r="AE7" s="30"/>
      <c r="AF7" s="551"/>
    </row>
    <row r="8" spans="2:32" ht="15.75" customHeight="1">
      <c r="B8" s="8" t="s">
        <v>668</v>
      </c>
      <c r="C8" s="96">
        <v>25</v>
      </c>
      <c r="D8" s="96">
        <v>0.61</v>
      </c>
      <c r="E8" s="96">
        <v>0.33</v>
      </c>
      <c r="F8" s="96">
        <v>1</v>
      </c>
      <c r="G8" s="49">
        <v>14.3</v>
      </c>
      <c r="H8" s="49">
        <v>85.7</v>
      </c>
      <c r="I8" s="49"/>
      <c r="J8" s="867">
        <v>10</v>
      </c>
      <c r="M8" s="8" t="s">
        <v>668</v>
      </c>
      <c r="N8" s="256">
        <v>25</v>
      </c>
      <c r="O8" s="256">
        <v>0.61</v>
      </c>
      <c r="P8" s="256">
        <v>0.33</v>
      </c>
      <c r="Q8" s="256">
        <v>1</v>
      </c>
      <c r="R8" s="49">
        <v>14.3</v>
      </c>
      <c r="S8" s="49">
        <v>85.7</v>
      </c>
      <c r="T8" s="49"/>
      <c r="U8" s="867">
        <v>10</v>
      </c>
      <c r="AE8" s="30"/>
      <c r="AF8" s="32"/>
    </row>
    <row r="9" spans="2:32" ht="15.75" customHeight="1">
      <c r="B9" s="236" t="s">
        <v>670</v>
      </c>
      <c r="C9" s="98">
        <v>25</v>
      </c>
      <c r="D9" s="98">
        <v>0.61</v>
      </c>
      <c r="E9" s="98">
        <v>0.33</v>
      </c>
      <c r="F9" s="98">
        <v>1</v>
      </c>
      <c r="G9" s="49">
        <v>14.3</v>
      </c>
      <c r="H9" s="49">
        <v>85.7</v>
      </c>
      <c r="I9" s="49"/>
      <c r="J9" s="867">
        <v>10</v>
      </c>
      <c r="M9" s="236" t="s">
        <v>670</v>
      </c>
      <c r="N9" s="256">
        <v>25</v>
      </c>
      <c r="O9" s="256">
        <v>0.61</v>
      </c>
      <c r="P9" s="256">
        <v>0.33</v>
      </c>
      <c r="Q9" s="256">
        <v>1</v>
      </c>
      <c r="R9" s="49">
        <v>14.3</v>
      </c>
      <c r="S9" s="49">
        <v>85.7</v>
      </c>
      <c r="T9" s="49"/>
      <c r="U9" s="867">
        <v>10</v>
      </c>
      <c r="AE9" s="30"/>
      <c r="AF9" s="551"/>
    </row>
    <row r="10" spans="2:32" ht="15.75" customHeight="1">
      <c r="B10" s="8" t="s">
        <v>671</v>
      </c>
      <c r="C10" s="96">
        <v>2</v>
      </c>
      <c r="D10" s="96">
        <v>0.26</v>
      </c>
      <c r="E10" s="96">
        <v>0.02</v>
      </c>
      <c r="F10" s="96">
        <v>0.79</v>
      </c>
      <c r="G10" s="49">
        <v>14.3</v>
      </c>
      <c r="H10" s="49">
        <v>85.7</v>
      </c>
      <c r="I10" s="49"/>
      <c r="J10" s="867">
        <v>10</v>
      </c>
      <c r="M10" s="8" t="s">
        <v>671</v>
      </c>
      <c r="N10" s="256">
        <v>2</v>
      </c>
      <c r="O10" s="256">
        <v>0.26</v>
      </c>
      <c r="P10" s="256">
        <v>0.02</v>
      </c>
      <c r="Q10" s="256">
        <v>0.79</v>
      </c>
      <c r="R10" s="49">
        <v>14.3</v>
      </c>
      <c r="S10" s="49">
        <v>85.7</v>
      </c>
      <c r="T10" s="49"/>
      <c r="U10" s="867">
        <v>10</v>
      </c>
      <c r="AE10" s="30"/>
      <c r="AF10" s="32"/>
    </row>
    <row r="11" spans="2:32" ht="15.75" customHeight="1">
      <c r="B11" s="236" t="s">
        <v>672</v>
      </c>
      <c r="C11" s="98">
        <v>2</v>
      </c>
      <c r="D11" s="98">
        <v>0.26</v>
      </c>
      <c r="E11" s="98">
        <v>0.02</v>
      </c>
      <c r="F11" s="98">
        <v>0.79</v>
      </c>
      <c r="G11" s="49">
        <v>14.3</v>
      </c>
      <c r="H11" s="49">
        <v>85.7</v>
      </c>
      <c r="I11" s="49"/>
      <c r="J11" s="867">
        <v>10</v>
      </c>
      <c r="M11" s="236" t="s">
        <v>672</v>
      </c>
      <c r="N11" s="256">
        <v>2</v>
      </c>
      <c r="O11" s="256">
        <v>0.26</v>
      </c>
      <c r="P11" s="256">
        <v>0.02</v>
      </c>
      <c r="Q11" s="256">
        <v>0.79</v>
      </c>
      <c r="R11" s="49">
        <v>14.3</v>
      </c>
      <c r="S11" s="49">
        <v>85.7</v>
      </c>
      <c r="T11" s="49"/>
      <c r="U11" s="867">
        <v>10</v>
      </c>
      <c r="AE11" s="30"/>
      <c r="AF11" s="551"/>
    </row>
    <row r="12" spans="2:32" ht="15.75">
      <c r="B12" s="8" t="s">
        <v>674</v>
      </c>
      <c r="C12" s="96">
        <v>5</v>
      </c>
      <c r="D12" s="96">
        <v>0.47</v>
      </c>
      <c r="E12" s="96">
        <v>0.28000000000000003</v>
      </c>
      <c r="F12" s="96">
        <v>0.31</v>
      </c>
      <c r="G12" s="49">
        <v>6.3</v>
      </c>
      <c r="H12" s="49">
        <v>93.7</v>
      </c>
      <c r="I12" s="49"/>
      <c r="J12" s="867">
        <v>5</v>
      </c>
      <c r="M12" s="8" t="s">
        <v>674</v>
      </c>
      <c r="N12" s="256">
        <v>5</v>
      </c>
      <c r="O12" s="256">
        <v>0.47</v>
      </c>
      <c r="P12" s="256">
        <v>0.28000000000000003</v>
      </c>
      <c r="Q12" s="256">
        <v>0.31</v>
      </c>
      <c r="R12" s="49">
        <v>6.3</v>
      </c>
      <c r="S12" s="49">
        <v>93.7</v>
      </c>
      <c r="T12" s="49"/>
      <c r="U12" s="867">
        <v>5</v>
      </c>
      <c r="AE12" s="30"/>
      <c r="AF12" s="32"/>
    </row>
    <row r="13" spans="2:32" ht="15.75">
      <c r="B13" s="236" t="s">
        <v>675</v>
      </c>
      <c r="C13" s="98">
        <v>5</v>
      </c>
      <c r="D13" s="98">
        <v>0.47</v>
      </c>
      <c r="E13" s="98">
        <v>0.28000000000000003</v>
      </c>
      <c r="F13" s="98">
        <v>0.31</v>
      </c>
      <c r="G13" s="49">
        <v>6.3</v>
      </c>
      <c r="H13" s="49">
        <v>93.7</v>
      </c>
      <c r="I13" s="49"/>
      <c r="J13" s="867">
        <v>5</v>
      </c>
      <c r="M13" s="236" t="s">
        <v>675</v>
      </c>
      <c r="N13" s="256">
        <v>5</v>
      </c>
      <c r="O13" s="256">
        <v>0.47</v>
      </c>
      <c r="P13" s="256">
        <v>0.28000000000000003</v>
      </c>
      <c r="Q13" s="256">
        <v>0.31</v>
      </c>
      <c r="R13" s="49">
        <v>6.3</v>
      </c>
      <c r="S13" s="49">
        <v>93.7</v>
      </c>
      <c r="T13" s="49"/>
      <c r="U13" s="867">
        <v>5</v>
      </c>
      <c r="AE13" s="30"/>
      <c r="AF13" s="551"/>
    </row>
    <row r="14" spans="2:32" ht="15.75">
      <c r="B14" s="8" t="s">
        <v>676</v>
      </c>
      <c r="C14" s="96">
        <v>25</v>
      </c>
      <c r="D14" s="96">
        <v>0.76</v>
      </c>
      <c r="E14" s="96">
        <v>0.66</v>
      </c>
      <c r="F14" s="96">
        <v>0.65</v>
      </c>
      <c r="G14" s="49">
        <v>14.3</v>
      </c>
      <c r="H14" s="49">
        <v>85.7</v>
      </c>
      <c r="I14" s="49"/>
      <c r="J14" s="867">
        <v>10</v>
      </c>
      <c r="M14" s="8" t="s">
        <v>676</v>
      </c>
      <c r="N14" s="256">
        <v>25</v>
      </c>
      <c r="O14" s="256">
        <v>0.76</v>
      </c>
      <c r="P14" s="256">
        <v>0.66</v>
      </c>
      <c r="Q14" s="256">
        <v>0.65</v>
      </c>
      <c r="R14" s="49">
        <v>14.3</v>
      </c>
      <c r="S14" s="49">
        <v>85.7</v>
      </c>
      <c r="T14" s="49"/>
      <c r="U14" s="867">
        <v>10</v>
      </c>
      <c r="AE14" s="30"/>
      <c r="AF14" s="32"/>
    </row>
    <row r="15" spans="2:32" ht="15.75">
      <c r="B15" s="236" t="s">
        <v>677</v>
      </c>
      <c r="C15" s="98">
        <v>25</v>
      </c>
      <c r="D15" s="98">
        <v>0.76</v>
      </c>
      <c r="E15" s="98">
        <v>0.66</v>
      </c>
      <c r="F15" s="98">
        <v>0.65</v>
      </c>
      <c r="G15" s="49">
        <v>14.3</v>
      </c>
      <c r="H15" s="49">
        <v>85.7</v>
      </c>
      <c r="I15" s="49"/>
      <c r="J15" s="867">
        <v>10</v>
      </c>
      <c r="M15" s="236" t="s">
        <v>677</v>
      </c>
      <c r="N15" s="256">
        <v>25</v>
      </c>
      <c r="O15" s="256">
        <v>0.76</v>
      </c>
      <c r="P15" s="256">
        <v>0.66</v>
      </c>
      <c r="Q15" s="256">
        <v>0.65</v>
      </c>
      <c r="R15" s="49">
        <v>14.3</v>
      </c>
      <c r="S15" s="49">
        <v>85.7</v>
      </c>
      <c r="T15" s="49"/>
      <c r="U15" s="867">
        <v>10</v>
      </c>
      <c r="AE15" s="30"/>
      <c r="AF15" s="551"/>
    </row>
    <row r="16" spans="2:32" ht="15.75">
      <c r="B16" s="8" t="s">
        <v>679</v>
      </c>
      <c r="C16" s="96">
        <v>40</v>
      </c>
      <c r="D16" s="96">
        <v>2</v>
      </c>
      <c r="E16" s="96">
        <v>1.65</v>
      </c>
      <c r="F16" s="96">
        <v>1.4</v>
      </c>
      <c r="G16" s="49">
        <v>16.7</v>
      </c>
      <c r="H16" s="49">
        <v>83.3</v>
      </c>
      <c r="I16" s="49"/>
      <c r="J16" s="867">
        <v>10</v>
      </c>
      <c r="M16" s="8" t="s">
        <v>679</v>
      </c>
      <c r="N16" s="256">
        <v>40</v>
      </c>
      <c r="O16" s="256">
        <v>2</v>
      </c>
      <c r="P16" s="256">
        <v>1.65</v>
      </c>
      <c r="Q16" s="256">
        <v>1.4</v>
      </c>
      <c r="R16" s="49">
        <v>16.7</v>
      </c>
      <c r="S16" s="49">
        <v>83.3</v>
      </c>
      <c r="T16" s="49"/>
      <c r="U16" s="867">
        <v>10</v>
      </c>
      <c r="AE16" s="30"/>
      <c r="AF16" s="32"/>
    </row>
    <row r="17" spans="2:32" ht="17.25" customHeight="1">
      <c r="B17" s="8" t="s">
        <v>680</v>
      </c>
      <c r="C17" s="96">
        <v>55</v>
      </c>
      <c r="D17" s="96">
        <v>2.6</v>
      </c>
      <c r="E17" s="96">
        <v>2.1</v>
      </c>
      <c r="F17" s="96">
        <v>1.8</v>
      </c>
      <c r="G17" s="49">
        <v>16.7</v>
      </c>
      <c r="H17" s="49">
        <v>83.3</v>
      </c>
      <c r="I17" s="49"/>
      <c r="J17" s="867">
        <v>10</v>
      </c>
      <c r="M17" s="8" t="s">
        <v>680</v>
      </c>
      <c r="N17" s="256">
        <v>55</v>
      </c>
      <c r="O17" s="256">
        <v>2.6</v>
      </c>
      <c r="P17" s="256">
        <v>2.1</v>
      </c>
      <c r="Q17" s="256">
        <v>1.8</v>
      </c>
      <c r="R17" s="49">
        <v>16.7</v>
      </c>
      <c r="S17" s="49">
        <v>83.3</v>
      </c>
      <c r="T17" s="49"/>
      <c r="U17" s="867">
        <v>10</v>
      </c>
      <c r="AE17" s="30"/>
      <c r="AF17" s="32"/>
    </row>
    <row r="18" spans="2:32" ht="15.75">
      <c r="B18" s="8" t="s">
        <v>681</v>
      </c>
      <c r="C18" s="96">
        <v>70</v>
      </c>
      <c r="D18" s="96">
        <v>3</v>
      </c>
      <c r="E18" s="96">
        <v>2.5</v>
      </c>
      <c r="F18" s="96">
        <v>2.2000000000000002</v>
      </c>
      <c r="G18" s="49">
        <v>16.7</v>
      </c>
      <c r="H18" s="49">
        <v>83.3</v>
      </c>
      <c r="I18" s="49"/>
      <c r="J18" s="867">
        <v>10</v>
      </c>
      <c r="M18" s="8" t="s">
        <v>681</v>
      </c>
      <c r="N18" s="256">
        <v>70</v>
      </c>
      <c r="O18" s="256">
        <v>3</v>
      </c>
      <c r="P18" s="256">
        <v>2.5</v>
      </c>
      <c r="Q18" s="256">
        <v>2.2000000000000002</v>
      </c>
      <c r="R18" s="49">
        <v>16.7</v>
      </c>
      <c r="S18" s="49">
        <v>83.3</v>
      </c>
      <c r="T18" s="49"/>
      <c r="U18" s="867">
        <v>10</v>
      </c>
      <c r="AE18" s="30"/>
      <c r="AF18" s="32"/>
    </row>
    <row r="19" spans="2:32" ht="15.75">
      <c r="B19" s="236" t="s">
        <v>678</v>
      </c>
      <c r="C19" s="98">
        <v>70</v>
      </c>
      <c r="D19" s="98">
        <v>3</v>
      </c>
      <c r="E19" s="98">
        <v>2.5</v>
      </c>
      <c r="F19" s="98">
        <v>2.2000000000000002</v>
      </c>
      <c r="G19" s="49">
        <v>16.7</v>
      </c>
      <c r="H19" s="49">
        <v>83.3</v>
      </c>
      <c r="I19" s="49"/>
      <c r="J19" s="867">
        <v>10</v>
      </c>
      <c r="M19" s="236" t="s">
        <v>678</v>
      </c>
      <c r="N19" s="256">
        <v>70</v>
      </c>
      <c r="O19" s="256">
        <v>3</v>
      </c>
      <c r="P19" s="256">
        <v>2.5</v>
      </c>
      <c r="Q19" s="256">
        <v>2.2000000000000002</v>
      </c>
      <c r="R19" s="49">
        <v>16.7</v>
      </c>
      <c r="S19" s="49">
        <v>83.3</v>
      </c>
      <c r="T19" s="49"/>
      <c r="U19" s="867">
        <v>10</v>
      </c>
      <c r="AE19" s="30"/>
      <c r="AF19" s="551"/>
    </row>
    <row r="20" spans="2:32" ht="16.5" customHeight="1">
      <c r="B20" s="8" t="s">
        <v>682</v>
      </c>
      <c r="C20" s="96">
        <v>50</v>
      </c>
      <c r="D20" s="96">
        <v>2</v>
      </c>
      <c r="E20" s="96">
        <v>1.62</v>
      </c>
      <c r="F20" s="96">
        <v>1.8</v>
      </c>
      <c r="G20" s="49">
        <v>16.7</v>
      </c>
      <c r="H20" s="49">
        <v>83.3</v>
      </c>
      <c r="I20" s="49"/>
      <c r="J20" s="867">
        <v>10</v>
      </c>
      <c r="M20" s="8" t="s">
        <v>682</v>
      </c>
      <c r="N20" s="256">
        <v>50</v>
      </c>
      <c r="O20" s="256">
        <v>2</v>
      </c>
      <c r="P20" s="256">
        <v>1.62</v>
      </c>
      <c r="Q20" s="256">
        <v>1.8</v>
      </c>
      <c r="R20" s="49">
        <v>16.7</v>
      </c>
      <c r="S20" s="49">
        <v>83.3</v>
      </c>
      <c r="T20" s="49"/>
      <c r="U20" s="867">
        <v>10</v>
      </c>
      <c r="AE20" s="30"/>
      <c r="AF20" s="32"/>
    </row>
    <row r="21" spans="2:32" ht="16.5" customHeight="1">
      <c r="B21" s="236" t="s">
        <v>683</v>
      </c>
      <c r="C21" s="98">
        <v>50</v>
      </c>
      <c r="D21" s="98">
        <v>2</v>
      </c>
      <c r="E21" s="98">
        <v>1.62</v>
      </c>
      <c r="F21" s="98">
        <v>1.8</v>
      </c>
      <c r="G21" s="49">
        <v>16.7</v>
      </c>
      <c r="H21" s="49">
        <v>83.3</v>
      </c>
      <c r="I21" s="49"/>
      <c r="J21" s="867">
        <v>10</v>
      </c>
      <c r="M21" s="236" t="s">
        <v>683</v>
      </c>
      <c r="N21" s="256">
        <v>50</v>
      </c>
      <c r="O21" s="256">
        <v>2</v>
      </c>
      <c r="P21" s="256">
        <v>1.62</v>
      </c>
      <c r="Q21" s="256">
        <v>1.8</v>
      </c>
      <c r="R21" s="49">
        <v>16.7</v>
      </c>
      <c r="S21" s="49">
        <v>83.3</v>
      </c>
      <c r="T21" s="49"/>
      <c r="U21" s="867">
        <v>10</v>
      </c>
      <c r="AE21" s="30"/>
      <c r="AF21" s="551"/>
    </row>
    <row r="22" spans="2:32" ht="18" customHeight="1">
      <c r="B22" s="8" t="s">
        <v>590</v>
      </c>
      <c r="C22" s="96">
        <v>30</v>
      </c>
      <c r="D22" s="96">
        <v>0.83</v>
      </c>
      <c r="E22" s="96">
        <v>0.43</v>
      </c>
      <c r="F22" s="96">
        <v>1.34</v>
      </c>
      <c r="G22" s="49">
        <v>9.1</v>
      </c>
      <c r="H22" s="49">
        <v>90.9</v>
      </c>
      <c r="I22" s="49"/>
      <c r="J22" s="867">
        <v>5</v>
      </c>
      <c r="M22" s="8" t="s">
        <v>590</v>
      </c>
      <c r="N22" s="256">
        <v>30</v>
      </c>
      <c r="O22" s="256">
        <v>0.83</v>
      </c>
      <c r="P22" s="256">
        <v>0.43</v>
      </c>
      <c r="Q22" s="256">
        <v>1.34</v>
      </c>
      <c r="R22" s="49">
        <v>9.1</v>
      </c>
      <c r="S22" s="49">
        <v>90.9</v>
      </c>
      <c r="T22" s="49"/>
      <c r="U22" s="867">
        <v>5</v>
      </c>
      <c r="AE22" s="30"/>
      <c r="AF22" s="32"/>
    </row>
    <row r="23" spans="2:32" ht="18" customHeight="1">
      <c r="B23" s="8" t="s">
        <v>684</v>
      </c>
      <c r="C23" s="96">
        <v>30</v>
      </c>
      <c r="D23" s="96">
        <v>0.45</v>
      </c>
      <c r="E23" s="96">
        <v>0.3</v>
      </c>
      <c r="F23" s="96">
        <v>0.72</v>
      </c>
      <c r="G23" s="49">
        <v>9.1</v>
      </c>
      <c r="H23" s="49">
        <v>90.9</v>
      </c>
      <c r="I23" s="49"/>
      <c r="J23" s="867">
        <v>5</v>
      </c>
      <c r="M23" s="8" t="s">
        <v>684</v>
      </c>
      <c r="N23" s="256">
        <v>30</v>
      </c>
      <c r="O23" s="256">
        <v>0.45</v>
      </c>
      <c r="P23" s="256">
        <v>0.3</v>
      </c>
      <c r="Q23" s="256">
        <v>0.72</v>
      </c>
      <c r="R23" s="49">
        <v>9.1</v>
      </c>
      <c r="S23" s="49">
        <v>90.9</v>
      </c>
      <c r="T23" s="49"/>
      <c r="U23" s="867">
        <v>5</v>
      </c>
      <c r="AE23" s="30"/>
      <c r="AF23" s="32"/>
    </row>
    <row r="24" spans="2:32" ht="18" customHeight="1">
      <c r="B24" s="236" t="s">
        <v>685</v>
      </c>
      <c r="C24" s="98">
        <v>30</v>
      </c>
      <c r="D24" s="98">
        <v>0.45</v>
      </c>
      <c r="E24" s="98">
        <v>0.3</v>
      </c>
      <c r="F24" s="98">
        <v>0.72</v>
      </c>
      <c r="G24" s="49">
        <v>9.1</v>
      </c>
      <c r="H24" s="49">
        <v>90.9</v>
      </c>
      <c r="I24" s="49"/>
      <c r="J24" s="867">
        <v>5</v>
      </c>
      <c r="M24" s="236" t="s">
        <v>685</v>
      </c>
      <c r="N24" s="256">
        <v>30</v>
      </c>
      <c r="O24" s="256">
        <v>0.45</v>
      </c>
      <c r="P24" s="256">
        <v>0.3</v>
      </c>
      <c r="Q24" s="256">
        <v>0.72</v>
      </c>
      <c r="R24" s="49">
        <v>9.1</v>
      </c>
      <c r="S24" s="49">
        <v>90.9</v>
      </c>
      <c r="T24" s="49"/>
      <c r="U24" s="867">
        <v>5</v>
      </c>
      <c r="AE24" s="30"/>
      <c r="AF24" s="551"/>
    </row>
    <row r="25" spans="2:32" ht="15.75" customHeight="1">
      <c r="B25" s="8" t="s">
        <v>686</v>
      </c>
      <c r="C25" s="82">
        <v>3.5</v>
      </c>
      <c r="D25" s="93">
        <v>0.14000000000000001</v>
      </c>
      <c r="E25" s="93">
        <v>0.23</v>
      </c>
      <c r="F25" s="93">
        <v>0.02</v>
      </c>
      <c r="G25" s="49">
        <v>10</v>
      </c>
      <c r="H25" s="49">
        <v>90</v>
      </c>
      <c r="I25" s="49"/>
      <c r="J25" s="867">
        <v>10</v>
      </c>
      <c r="M25" s="8" t="s">
        <v>686</v>
      </c>
      <c r="N25" s="256">
        <v>3.5</v>
      </c>
      <c r="O25" s="256">
        <v>0.14000000000000001</v>
      </c>
      <c r="P25" s="256">
        <v>0.23</v>
      </c>
      <c r="Q25" s="256">
        <v>0.02</v>
      </c>
      <c r="R25" s="49">
        <v>10</v>
      </c>
      <c r="S25" s="49">
        <v>90</v>
      </c>
      <c r="T25" s="49"/>
      <c r="U25" s="867">
        <v>10</v>
      </c>
      <c r="AE25" s="30"/>
      <c r="AF25" s="32"/>
    </row>
    <row r="26" spans="2:32" ht="15.75" customHeight="1">
      <c r="B26" s="236" t="s">
        <v>1153</v>
      </c>
      <c r="C26" s="98">
        <v>3.5</v>
      </c>
      <c r="D26" s="98">
        <v>0.14000000000000001</v>
      </c>
      <c r="E26" s="98">
        <v>0.23</v>
      </c>
      <c r="F26" s="98">
        <v>0.02</v>
      </c>
      <c r="G26" s="49">
        <v>10</v>
      </c>
      <c r="H26" s="49">
        <v>90</v>
      </c>
      <c r="I26" s="49"/>
      <c r="J26" s="867">
        <v>10</v>
      </c>
      <c r="M26" s="236" t="s">
        <v>1153</v>
      </c>
      <c r="N26" s="256">
        <v>3.5</v>
      </c>
      <c r="O26" s="256">
        <v>0.14000000000000001</v>
      </c>
      <c r="P26" s="256">
        <v>0.23</v>
      </c>
      <c r="Q26" s="256">
        <v>0.02</v>
      </c>
      <c r="R26" s="49">
        <v>10</v>
      </c>
      <c r="S26" s="49">
        <v>90</v>
      </c>
      <c r="T26" s="49"/>
      <c r="U26" s="867">
        <v>10</v>
      </c>
      <c r="AE26" s="30"/>
      <c r="AF26" s="873"/>
    </row>
    <row r="27" spans="2:32" ht="15.75" customHeight="1">
      <c r="B27" s="236" t="s">
        <v>1154</v>
      </c>
      <c r="C27" s="98">
        <v>3.5</v>
      </c>
      <c r="D27" s="98">
        <v>0.14000000000000001</v>
      </c>
      <c r="E27" s="98">
        <v>0.23</v>
      </c>
      <c r="F27" s="98">
        <v>0.02</v>
      </c>
      <c r="G27" s="49">
        <v>10</v>
      </c>
      <c r="H27" s="49">
        <v>90</v>
      </c>
      <c r="I27" s="49"/>
      <c r="J27" s="867">
        <v>10</v>
      </c>
      <c r="M27" s="236" t="s">
        <v>1154</v>
      </c>
      <c r="N27" s="256">
        <v>3.5</v>
      </c>
      <c r="O27" s="256">
        <v>0.14000000000000001</v>
      </c>
      <c r="P27" s="256">
        <v>0.23</v>
      </c>
      <c r="Q27" s="256">
        <v>0.02</v>
      </c>
      <c r="R27" s="49">
        <v>10</v>
      </c>
      <c r="S27" s="49">
        <v>90</v>
      </c>
      <c r="T27" s="49"/>
      <c r="U27" s="867">
        <v>10</v>
      </c>
      <c r="AE27" s="30"/>
      <c r="AF27" s="551"/>
    </row>
    <row r="28" spans="2:32" ht="15.75" customHeight="1">
      <c r="B28" s="8" t="s">
        <v>911</v>
      </c>
      <c r="C28" s="96">
        <v>94</v>
      </c>
      <c r="D28" s="96">
        <v>12.8</v>
      </c>
      <c r="E28" s="96">
        <v>1.1000000000000001</v>
      </c>
      <c r="F28" s="96">
        <v>0.31</v>
      </c>
      <c r="G28" s="49">
        <v>10</v>
      </c>
      <c r="H28" s="49">
        <v>90</v>
      </c>
      <c r="I28" s="49"/>
      <c r="J28" s="867">
        <v>10</v>
      </c>
      <c r="M28" s="8" t="s">
        <v>911</v>
      </c>
      <c r="N28" s="256">
        <v>94</v>
      </c>
      <c r="O28" s="256">
        <v>12.8</v>
      </c>
      <c r="P28" s="256">
        <v>1.1000000000000001</v>
      </c>
      <c r="Q28" s="256">
        <v>0.31</v>
      </c>
      <c r="R28" s="49">
        <v>10</v>
      </c>
      <c r="S28" s="49">
        <v>90</v>
      </c>
      <c r="T28" s="49"/>
      <c r="U28" s="867">
        <v>10</v>
      </c>
      <c r="AE28" s="30"/>
      <c r="AF28" s="32"/>
    </row>
    <row r="29" spans="2:32" ht="15.75" customHeight="1">
      <c r="B29" s="8" t="s">
        <v>591</v>
      </c>
      <c r="C29" s="96">
        <v>88.5</v>
      </c>
      <c r="D29" s="96">
        <v>13</v>
      </c>
      <c r="E29" s="96">
        <v>0.77</v>
      </c>
      <c r="F29" s="96">
        <v>0.3</v>
      </c>
      <c r="G29" s="324">
        <v>10</v>
      </c>
      <c r="H29" s="14">
        <v>90</v>
      </c>
      <c r="I29" s="14"/>
      <c r="J29" s="3">
        <v>10</v>
      </c>
      <c r="M29" s="8" t="s">
        <v>591</v>
      </c>
      <c r="N29" s="256">
        <v>88.5</v>
      </c>
      <c r="O29" s="256">
        <v>13</v>
      </c>
      <c r="P29" s="256">
        <v>0.77</v>
      </c>
      <c r="Q29" s="256">
        <v>0.3</v>
      </c>
      <c r="R29" s="49">
        <v>10</v>
      </c>
      <c r="S29" s="49">
        <v>90</v>
      </c>
      <c r="T29" s="49"/>
      <c r="U29" s="867">
        <v>10</v>
      </c>
      <c r="AE29" s="30"/>
      <c r="AF29" s="32"/>
    </row>
    <row r="30" spans="2:32" ht="15.75" customHeight="1">
      <c r="B30" s="8" t="s">
        <v>912</v>
      </c>
      <c r="C30" s="96">
        <v>92</v>
      </c>
      <c r="D30" s="96">
        <v>9.1999999999999993</v>
      </c>
      <c r="E30" s="96">
        <v>7.5</v>
      </c>
      <c r="F30" s="96">
        <v>0.7</v>
      </c>
      <c r="G30" s="324">
        <v>10</v>
      </c>
      <c r="H30" s="14">
        <v>90</v>
      </c>
      <c r="I30" s="14"/>
      <c r="J30" s="3">
        <v>10</v>
      </c>
      <c r="M30" s="8" t="s">
        <v>912</v>
      </c>
      <c r="N30" s="633">
        <v>92</v>
      </c>
      <c r="O30" s="633">
        <v>9.1999999999999993</v>
      </c>
      <c r="P30" s="633">
        <v>7.5</v>
      </c>
      <c r="Q30" s="633">
        <v>0.7</v>
      </c>
      <c r="R30" s="634">
        <v>10</v>
      </c>
      <c r="S30" s="634">
        <v>90</v>
      </c>
      <c r="T30" s="634"/>
      <c r="U30" s="3">
        <v>10</v>
      </c>
      <c r="AE30" s="30"/>
      <c r="AF30" s="32"/>
    </row>
    <row r="31" spans="2:32" ht="15.75" customHeight="1">
      <c r="B31" s="8" t="s">
        <v>592</v>
      </c>
      <c r="C31" s="96">
        <v>5</v>
      </c>
      <c r="D31" s="96">
        <v>0.25</v>
      </c>
      <c r="E31" s="96">
        <v>7.0000000000000007E-2</v>
      </c>
      <c r="F31" s="96">
        <v>0.48</v>
      </c>
      <c r="G31" s="324">
        <v>10</v>
      </c>
      <c r="H31" s="14">
        <v>90</v>
      </c>
      <c r="I31" s="14"/>
      <c r="J31" s="3">
        <v>10</v>
      </c>
      <c r="M31" s="8" t="s">
        <v>592</v>
      </c>
      <c r="N31" s="633">
        <v>5</v>
      </c>
      <c r="O31" s="633">
        <v>0.25</v>
      </c>
      <c r="P31" s="633">
        <v>7.0000000000000007E-2</v>
      </c>
      <c r="Q31" s="633">
        <v>0.48</v>
      </c>
      <c r="R31" s="634">
        <v>10</v>
      </c>
      <c r="S31" s="634">
        <v>90</v>
      </c>
      <c r="T31" s="634"/>
      <c r="U31" s="3">
        <v>10</v>
      </c>
      <c r="AE31" s="30"/>
      <c r="AF31" s="32"/>
    </row>
    <row r="32" spans="2:32" ht="15.75" customHeight="1">
      <c r="B32" s="8" t="s">
        <v>915</v>
      </c>
      <c r="C32" s="633">
        <v>92.7</v>
      </c>
      <c r="D32" s="633">
        <v>4</v>
      </c>
      <c r="E32" s="633">
        <v>1.2</v>
      </c>
      <c r="F32" s="633">
        <v>4.5</v>
      </c>
      <c r="G32" s="634">
        <v>10</v>
      </c>
      <c r="H32" s="634">
        <v>90</v>
      </c>
      <c r="I32" s="634"/>
      <c r="J32" s="3">
        <v>10</v>
      </c>
      <c r="M32" s="8" t="s">
        <v>915</v>
      </c>
      <c r="N32" s="633">
        <v>92.7</v>
      </c>
      <c r="O32" s="633">
        <v>4</v>
      </c>
      <c r="P32" s="633">
        <v>1.2</v>
      </c>
      <c r="Q32" s="633">
        <v>4.5</v>
      </c>
      <c r="R32" s="634">
        <v>10</v>
      </c>
      <c r="S32" s="634">
        <v>90</v>
      </c>
      <c r="T32" s="634"/>
      <c r="U32" s="3">
        <v>10</v>
      </c>
      <c r="AE32" s="30"/>
      <c r="AF32" s="629"/>
    </row>
    <row r="33" spans="1:32" ht="15.75" customHeight="1">
      <c r="B33" s="8" t="s">
        <v>913</v>
      </c>
      <c r="C33" s="633">
        <v>88</v>
      </c>
      <c r="D33" s="633">
        <v>4.2</v>
      </c>
      <c r="E33" s="633">
        <v>1.4</v>
      </c>
      <c r="F33" s="633">
        <v>1.5</v>
      </c>
      <c r="G33" s="634">
        <v>10</v>
      </c>
      <c r="H33" s="634">
        <v>90</v>
      </c>
      <c r="I33" s="634"/>
      <c r="J33" s="3">
        <v>10</v>
      </c>
      <c r="M33" s="8" t="s">
        <v>913</v>
      </c>
      <c r="N33" s="633">
        <v>88</v>
      </c>
      <c r="O33" s="633">
        <v>4.2</v>
      </c>
      <c r="P33" s="633">
        <v>1.4</v>
      </c>
      <c r="Q33" s="633">
        <v>1.5</v>
      </c>
      <c r="R33" s="634">
        <v>10</v>
      </c>
      <c r="S33" s="634">
        <v>90</v>
      </c>
      <c r="T33" s="634"/>
      <c r="U33" s="3">
        <v>10</v>
      </c>
      <c r="AE33" s="30"/>
      <c r="AF33" s="629"/>
    </row>
    <row r="34" spans="1:32" ht="15.75" customHeight="1">
      <c r="B34" s="8" t="s">
        <v>86</v>
      </c>
      <c r="C34" s="633">
        <v>89</v>
      </c>
      <c r="D34" s="633">
        <v>5.43</v>
      </c>
      <c r="E34" s="633">
        <v>2.4500000000000002</v>
      </c>
      <c r="F34" s="633">
        <v>1.37</v>
      </c>
      <c r="G34" s="634">
        <v>10</v>
      </c>
      <c r="H34" s="634">
        <v>90</v>
      </c>
      <c r="I34" s="634"/>
      <c r="J34" s="3">
        <v>10</v>
      </c>
      <c r="M34" s="8" t="s">
        <v>86</v>
      </c>
      <c r="N34" s="633">
        <v>89</v>
      </c>
      <c r="O34" s="633">
        <v>5.43</v>
      </c>
      <c r="P34" s="633">
        <v>2.4500000000000002</v>
      </c>
      <c r="Q34" s="633">
        <v>1.37</v>
      </c>
      <c r="R34" s="634">
        <v>10</v>
      </c>
      <c r="S34" s="634">
        <v>90</v>
      </c>
      <c r="T34" s="634"/>
      <c r="U34" s="3">
        <v>10</v>
      </c>
      <c r="AE34" s="30"/>
      <c r="AF34" s="629"/>
    </row>
    <row r="35" spans="1:32" ht="15.75" customHeight="1">
      <c r="B35" s="8" t="s">
        <v>914</v>
      </c>
      <c r="C35" s="633">
        <v>66</v>
      </c>
      <c r="D35" s="633">
        <v>3.8</v>
      </c>
      <c r="E35" s="633">
        <v>0.21</v>
      </c>
      <c r="F35" s="633">
        <v>5.8</v>
      </c>
      <c r="G35" s="634">
        <v>10</v>
      </c>
      <c r="H35" s="634">
        <v>90</v>
      </c>
      <c r="I35" s="634"/>
      <c r="J35" s="3">
        <v>10</v>
      </c>
      <c r="M35" s="8" t="s">
        <v>914</v>
      </c>
      <c r="N35" s="633">
        <v>66</v>
      </c>
      <c r="O35" s="633">
        <v>3.8</v>
      </c>
      <c r="P35" s="633">
        <v>0.21</v>
      </c>
      <c r="Q35" s="633">
        <v>5.8</v>
      </c>
      <c r="R35" s="634">
        <v>10</v>
      </c>
      <c r="S35" s="634">
        <v>90</v>
      </c>
      <c r="T35" s="634"/>
      <c r="U35" s="3">
        <v>10</v>
      </c>
      <c r="AE35" s="30"/>
      <c r="AF35" s="629"/>
    </row>
    <row r="36" spans="1:32" s="583" customFormat="1" ht="15.75" customHeight="1">
      <c r="A36" s="583" t="s">
        <v>283</v>
      </c>
      <c r="B36" s="581" t="s">
        <v>596</v>
      </c>
      <c r="C36" s="566">
        <v>40</v>
      </c>
      <c r="D36" s="566">
        <v>0.74</v>
      </c>
      <c r="E36" s="566">
        <v>0.23</v>
      </c>
      <c r="F36" s="566">
        <v>0.78</v>
      </c>
      <c r="G36" s="566">
        <v>10</v>
      </c>
      <c r="H36" s="566">
        <v>90</v>
      </c>
      <c r="I36" s="566"/>
      <c r="J36" s="582">
        <v>10</v>
      </c>
      <c r="M36" s="581" t="s">
        <v>596</v>
      </c>
      <c r="N36" s="566">
        <v>40</v>
      </c>
      <c r="O36" s="566">
        <v>0.74</v>
      </c>
      <c r="P36" s="566">
        <v>0.23</v>
      </c>
      <c r="Q36" s="566">
        <v>0.78</v>
      </c>
      <c r="R36" s="566">
        <v>10</v>
      </c>
      <c r="S36" s="566">
        <v>90</v>
      </c>
      <c r="T36" s="566"/>
      <c r="U36" s="582">
        <v>10</v>
      </c>
    </row>
    <row r="37" spans="1:32" s="583" customFormat="1" ht="15.75" customHeight="1">
      <c r="B37" s="581" t="s">
        <v>597</v>
      </c>
      <c r="C37" s="566">
        <v>40</v>
      </c>
      <c r="D37" s="566">
        <v>1.2</v>
      </c>
      <c r="E37" s="566">
        <v>0.5</v>
      </c>
      <c r="F37" s="566">
        <v>1.7</v>
      </c>
      <c r="G37" s="566">
        <v>10</v>
      </c>
      <c r="H37" s="566">
        <v>90</v>
      </c>
      <c r="I37" s="566"/>
      <c r="J37" s="582">
        <v>10</v>
      </c>
      <c r="M37" s="581" t="s">
        <v>597</v>
      </c>
      <c r="N37" s="566">
        <v>40</v>
      </c>
      <c r="O37" s="566">
        <v>1.2</v>
      </c>
      <c r="P37" s="566">
        <v>0.5</v>
      </c>
      <c r="Q37" s="566">
        <v>1.7</v>
      </c>
      <c r="R37" s="566">
        <v>10</v>
      </c>
      <c r="S37" s="566">
        <v>90</v>
      </c>
      <c r="T37" s="566"/>
      <c r="U37" s="582">
        <v>10</v>
      </c>
    </row>
    <row r="38" spans="1:32" s="583" customFormat="1" ht="15.75" customHeight="1">
      <c r="B38" s="581" t="s">
        <v>584</v>
      </c>
      <c r="C38" s="566"/>
      <c r="D38" s="566">
        <v>0.5</v>
      </c>
      <c r="E38" s="566">
        <v>0.03</v>
      </c>
      <c r="F38" s="566">
        <v>0.3</v>
      </c>
      <c r="G38" s="568">
        <v>10</v>
      </c>
      <c r="H38" s="566">
        <v>90</v>
      </c>
      <c r="I38" s="566"/>
      <c r="J38" s="582">
        <v>10</v>
      </c>
      <c r="M38" s="581" t="s">
        <v>584</v>
      </c>
      <c r="N38" s="566"/>
      <c r="O38" s="566">
        <v>0.5</v>
      </c>
      <c r="P38" s="566">
        <v>0.03</v>
      </c>
      <c r="Q38" s="566">
        <v>0.3</v>
      </c>
      <c r="R38" s="568">
        <v>10</v>
      </c>
      <c r="S38" s="566">
        <v>90</v>
      </c>
      <c r="T38" s="566"/>
      <c r="U38" s="582">
        <v>10</v>
      </c>
    </row>
    <row r="39" spans="1:32" s="583" customFormat="1" ht="15.75" customHeight="1">
      <c r="B39" s="581" t="s">
        <v>598</v>
      </c>
      <c r="C39" s="566">
        <v>20</v>
      </c>
      <c r="D39" s="566">
        <v>0.8</v>
      </c>
      <c r="E39" s="566">
        <v>0.3</v>
      </c>
      <c r="F39" s="566">
        <v>1.2</v>
      </c>
      <c r="G39" s="568">
        <v>10</v>
      </c>
      <c r="H39" s="566">
        <v>90</v>
      </c>
      <c r="I39" s="566"/>
      <c r="J39" s="582">
        <v>10</v>
      </c>
      <c r="M39" s="581" t="s">
        <v>598</v>
      </c>
      <c r="N39" s="566">
        <v>20</v>
      </c>
      <c r="O39" s="566">
        <v>0.8</v>
      </c>
      <c r="P39" s="566">
        <v>0.3</v>
      </c>
      <c r="Q39" s="566">
        <v>1.2</v>
      </c>
      <c r="R39" s="568">
        <v>10</v>
      </c>
      <c r="S39" s="566">
        <v>90</v>
      </c>
      <c r="T39" s="566"/>
      <c r="U39" s="582">
        <v>10</v>
      </c>
    </row>
    <row r="40" spans="1:32" s="583" customFormat="1" ht="15.75" customHeight="1">
      <c r="B40" s="581" t="s">
        <v>599</v>
      </c>
      <c r="C40" s="566">
        <v>40</v>
      </c>
      <c r="D40" s="566">
        <v>1.6</v>
      </c>
      <c r="E40" s="566">
        <v>0.6</v>
      </c>
      <c r="F40" s="566">
        <v>2.4</v>
      </c>
      <c r="G40" s="584">
        <v>10</v>
      </c>
      <c r="H40" s="566">
        <v>90</v>
      </c>
      <c r="I40" s="566"/>
      <c r="J40" s="582">
        <v>10</v>
      </c>
      <c r="M40" s="581" t="s">
        <v>599</v>
      </c>
      <c r="N40" s="566">
        <v>40</v>
      </c>
      <c r="O40" s="566">
        <v>1.6</v>
      </c>
      <c r="P40" s="566">
        <v>0.6</v>
      </c>
      <c r="Q40" s="566">
        <v>2.4</v>
      </c>
      <c r="R40" s="584">
        <v>10</v>
      </c>
      <c r="S40" s="566">
        <v>90</v>
      </c>
      <c r="T40" s="566"/>
      <c r="U40" s="582">
        <v>10</v>
      </c>
    </row>
    <row r="41" spans="1:32" s="583" customFormat="1" ht="15.75" customHeight="1">
      <c r="B41" s="581" t="s">
        <v>600</v>
      </c>
      <c r="C41" s="566"/>
      <c r="D41" s="566">
        <v>0.36</v>
      </c>
      <c r="E41" s="566">
        <v>0.11</v>
      </c>
      <c r="F41" s="566">
        <v>0.5</v>
      </c>
      <c r="G41" s="584">
        <v>10</v>
      </c>
      <c r="H41" s="566">
        <v>90</v>
      </c>
      <c r="I41" s="566"/>
      <c r="J41" s="582">
        <v>10</v>
      </c>
      <c r="M41" s="581" t="s">
        <v>600</v>
      </c>
      <c r="N41" s="566"/>
      <c r="O41" s="566">
        <v>0.36</v>
      </c>
      <c r="P41" s="566">
        <v>0.11</v>
      </c>
      <c r="Q41" s="566">
        <v>0.5</v>
      </c>
      <c r="R41" s="584">
        <v>10</v>
      </c>
      <c r="S41" s="566">
        <v>90</v>
      </c>
      <c r="T41" s="566"/>
      <c r="U41" s="582">
        <v>10</v>
      </c>
    </row>
    <row r="42" spans="1:32" ht="15.75" customHeight="1">
      <c r="B42" s="26" t="s">
        <v>95</v>
      </c>
      <c r="C42" s="18">
        <v>0</v>
      </c>
      <c r="D42" s="18">
        <v>0</v>
      </c>
      <c r="E42" s="18">
        <v>0</v>
      </c>
      <c r="F42" s="18">
        <v>0</v>
      </c>
      <c r="G42" s="593">
        <v>0</v>
      </c>
      <c r="H42" s="593">
        <v>100</v>
      </c>
      <c r="I42" s="593" t="s">
        <v>691</v>
      </c>
      <c r="J42" s="595">
        <v>0</v>
      </c>
      <c r="M42" s="26" t="s">
        <v>95</v>
      </c>
      <c r="N42" s="18">
        <v>0</v>
      </c>
      <c r="O42" s="18">
        <v>0</v>
      </c>
      <c r="P42" s="18">
        <v>0</v>
      </c>
      <c r="Q42" s="18">
        <v>0</v>
      </c>
      <c r="R42" s="593">
        <v>0</v>
      </c>
      <c r="S42" s="593">
        <v>100</v>
      </c>
      <c r="T42" s="593" t="s">
        <v>691</v>
      </c>
      <c r="U42" s="595">
        <v>0</v>
      </c>
    </row>
    <row r="43" spans="1:32" ht="15.75" customHeight="1">
      <c r="B43" s="26" t="s">
        <v>96</v>
      </c>
      <c r="C43" s="18">
        <v>0</v>
      </c>
      <c r="D43" s="18">
        <v>0</v>
      </c>
      <c r="E43" s="18">
        <v>0</v>
      </c>
      <c r="F43" s="18">
        <v>0</v>
      </c>
      <c r="G43" s="593">
        <v>0</v>
      </c>
      <c r="H43" s="593">
        <v>100</v>
      </c>
      <c r="I43" s="593" t="s">
        <v>691</v>
      </c>
      <c r="J43" s="595">
        <v>0</v>
      </c>
      <c r="M43" s="26" t="s">
        <v>96</v>
      </c>
      <c r="N43" s="18">
        <v>0</v>
      </c>
      <c r="O43" s="18">
        <v>0</v>
      </c>
      <c r="P43" s="18">
        <v>0</v>
      </c>
      <c r="Q43" s="18">
        <v>0</v>
      </c>
      <c r="R43" s="593">
        <v>0</v>
      </c>
      <c r="S43" s="593">
        <v>100</v>
      </c>
      <c r="T43" s="593" t="s">
        <v>691</v>
      </c>
      <c r="U43" s="595">
        <v>0</v>
      </c>
    </row>
    <row r="44" spans="1:32" ht="15.75" customHeight="1">
      <c r="B44" s="26" t="s">
        <v>97</v>
      </c>
      <c r="C44" s="18">
        <v>0</v>
      </c>
      <c r="D44" s="18">
        <v>0</v>
      </c>
      <c r="E44" s="18">
        <v>0</v>
      </c>
      <c r="F44" s="18">
        <v>0</v>
      </c>
      <c r="G44" s="593">
        <v>0</v>
      </c>
      <c r="H44" s="593">
        <v>100</v>
      </c>
      <c r="I44" s="593" t="s">
        <v>691</v>
      </c>
      <c r="J44" s="595">
        <v>0</v>
      </c>
      <c r="M44" s="26" t="s">
        <v>97</v>
      </c>
      <c r="N44" s="18">
        <v>0</v>
      </c>
      <c r="O44" s="18">
        <v>0</v>
      </c>
      <c r="P44" s="18">
        <v>0</v>
      </c>
      <c r="Q44" s="18">
        <v>0</v>
      </c>
      <c r="R44" s="593">
        <v>0</v>
      </c>
      <c r="S44" s="593">
        <v>100</v>
      </c>
      <c r="T44" s="593" t="s">
        <v>691</v>
      </c>
      <c r="U44" s="595">
        <v>0</v>
      </c>
    </row>
    <row r="45" spans="1:32" ht="15.75" customHeight="1">
      <c r="B45" s="26" t="s">
        <v>688</v>
      </c>
      <c r="C45" s="18">
        <v>0</v>
      </c>
      <c r="D45" s="18">
        <v>0</v>
      </c>
      <c r="E45" s="18">
        <v>0</v>
      </c>
      <c r="F45" s="18">
        <v>0</v>
      </c>
      <c r="G45" s="593">
        <v>0</v>
      </c>
      <c r="H45" s="593">
        <v>100</v>
      </c>
      <c r="I45" s="593" t="s">
        <v>691</v>
      </c>
      <c r="J45" s="595">
        <v>0</v>
      </c>
      <c r="M45" s="26" t="s">
        <v>688</v>
      </c>
      <c r="N45" s="18">
        <v>0</v>
      </c>
      <c r="O45" s="18">
        <v>0</v>
      </c>
      <c r="P45" s="18">
        <v>0</v>
      </c>
      <c r="Q45" s="18">
        <v>0</v>
      </c>
      <c r="R45" s="593">
        <v>0</v>
      </c>
      <c r="S45" s="593">
        <v>100</v>
      </c>
      <c r="T45" s="593" t="s">
        <v>691</v>
      </c>
      <c r="U45" s="595">
        <v>0</v>
      </c>
    </row>
    <row r="46" spans="1:32" ht="15.75" customHeight="1">
      <c r="B46" s="99" t="s">
        <v>163</v>
      </c>
      <c r="C46" s="484">
        <v>0</v>
      </c>
      <c r="D46" s="484">
        <v>0</v>
      </c>
      <c r="E46" s="484">
        <v>0</v>
      </c>
      <c r="F46" s="484">
        <v>0</v>
      </c>
      <c r="G46" s="49">
        <v>0</v>
      </c>
      <c r="H46" s="49">
        <v>0</v>
      </c>
      <c r="I46" s="49"/>
      <c r="J46" s="722">
        <v>0</v>
      </c>
      <c r="M46" s="99" t="s">
        <v>163</v>
      </c>
      <c r="N46" s="484">
        <v>0</v>
      </c>
      <c r="O46" s="484">
        <v>0</v>
      </c>
      <c r="P46" s="484">
        <v>0</v>
      </c>
      <c r="Q46" s="484">
        <v>0</v>
      </c>
      <c r="R46" s="49">
        <v>0</v>
      </c>
      <c r="S46" s="49">
        <v>0</v>
      </c>
      <c r="T46" s="49"/>
      <c r="U46" s="722">
        <v>0</v>
      </c>
    </row>
    <row r="47" spans="1:32" ht="15.75" customHeight="1">
      <c r="B47" s="99" t="s">
        <v>1102</v>
      </c>
      <c r="C47" s="18">
        <v>0</v>
      </c>
      <c r="D47" s="18">
        <v>0.8</v>
      </c>
      <c r="E47" s="18">
        <v>0.34</v>
      </c>
      <c r="F47" s="98">
        <v>0.6</v>
      </c>
      <c r="G47" s="97">
        <v>10.5</v>
      </c>
      <c r="H47" s="97">
        <v>89.5</v>
      </c>
      <c r="I47" s="97"/>
      <c r="J47" s="288">
        <v>10</v>
      </c>
      <c r="M47" s="99" t="s">
        <v>1102</v>
      </c>
      <c r="N47" s="18">
        <v>0</v>
      </c>
      <c r="O47" s="18">
        <v>0.8</v>
      </c>
      <c r="P47" s="18">
        <v>0.3</v>
      </c>
      <c r="Q47" s="98">
        <v>0.5</v>
      </c>
      <c r="R47" s="97">
        <v>10.5</v>
      </c>
      <c r="S47" s="97">
        <v>89.5</v>
      </c>
      <c r="T47" s="97"/>
      <c r="U47" s="288">
        <v>10</v>
      </c>
    </row>
    <row r="48" spans="1:32" ht="15.75" customHeight="1">
      <c r="B48" s="99" t="s">
        <v>1104</v>
      </c>
      <c r="C48" s="18">
        <v>0</v>
      </c>
      <c r="D48" s="18">
        <v>0.8</v>
      </c>
      <c r="E48" s="18">
        <v>0.34</v>
      </c>
      <c r="F48" s="98">
        <v>0.6</v>
      </c>
      <c r="G48" s="97">
        <v>10.5</v>
      </c>
      <c r="H48" s="97">
        <v>89.5</v>
      </c>
      <c r="I48" s="97"/>
      <c r="J48" s="288">
        <v>10</v>
      </c>
      <c r="M48" s="99" t="s">
        <v>1104</v>
      </c>
      <c r="N48" s="18">
        <v>0</v>
      </c>
      <c r="O48" s="18">
        <v>0.8</v>
      </c>
      <c r="P48" s="18">
        <v>0.3</v>
      </c>
      <c r="Q48" s="98">
        <v>0.5</v>
      </c>
      <c r="R48" s="97">
        <v>10.5</v>
      </c>
      <c r="S48" s="97">
        <v>89.5</v>
      </c>
      <c r="T48" s="97"/>
      <c r="U48" s="288">
        <v>10</v>
      </c>
    </row>
    <row r="49" spans="2:21" ht="15.75" customHeight="1">
      <c r="B49" s="99" t="s">
        <v>1103</v>
      </c>
      <c r="C49" s="18">
        <v>0</v>
      </c>
      <c r="D49" s="18">
        <v>0.8</v>
      </c>
      <c r="E49" s="18">
        <v>0.34</v>
      </c>
      <c r="F49" s="98">
        <v>0.6</v>
      </c>
      <c r="G49" s="97">
        <v>10.5</v>
      </c>
      <c r="H49" s="97">
        <v>89.5</v>
      </c>
      <c r="I49" s="97"/>
      <c r="J49" s="288">
        <v>10</v>
      </c>
      <c r="M49" s="99" t="s">
        <v>1103</v>
      </c>
      <c r="N49" s="18">
        <v>0</v>
      </c>
      <c r="O49" s="18">
        <v>0.8</v>
      </c>
      <c r="P49" s="18">
        <v>0.3</v>
      </c>
      <c r="Q49" s="98">
        <v>0.5</v>
      </c>
      <c r="R49" s="97">
        <v>10.5</v>
      </c>
      <c r="S49" s="97">
        <v>89.5</v>
      </c>
      <c r="T49" s="97"/>
      <c r="U49" s="288">
        <v>10</v>
      </c>
    </row>
    <row r="50" spans="2:21" ht="15.75" customHeight="1">
      <c r="B50" s="99" t="s">
        <v>1105</v>
      </c>
      <c r="C50" s="18">
        <v>0</v>
      </c>
      <c r="D50" s="18">
        <v>0.6</v>
      </c>
      <c r="E50" s="18">
        <v>0.4</v>
      </c>
      <c r="F50" s="98">
        <v>0.4</v>
      </c>
      <c r="G50" s="97">
        <v>10.5</v>
      </c>
      <c r="H50" s="97">
        <v>89.5</v>
      </c>
      <c r="I50" s="97"/>
      <c r="J50" s="288">
        <v>10</v>
      </c>
      <c r="M50" s="99" t="s">
        <v>1105</v>
      </c>
      <c r="N50" s="18">
        <v>0</v>
      </c>
      <c r="O50" s="18">
        <v>0.6</v>
      </c>
      <c r="P50" s="18">
        <v>0.4</v>
      </c>
      <c r="Q50" s="98">
        <v>0.4</v>
      </c>
      <c r="R50" s="97">
        <v>10.5</v>
      </c>
      <c r="S50" s="97">
        <v>89.5</v>
      </c>
      <c r="T50" s="97"/>
      <c r="U50" s="288">
        <v>10</v>
      </c>
    </row>
    <row r="51" spans="2:21" ht="15.75" customHeight="1">
      <c r="B51" s="99" t="s">
        <v>1106</v>
      </c>
      <c r="C51" s="18">
        <v>0</v>
      </c>
      <c r="D51" s="18">
        <v>0.6</v>
      </c>
      <c r="E51" s="18">
        <v>0.4</v>
      </c>
      <c r="F51" s="18">
        <v>0.4</v>
      </c>
      <c r="G51" s="97">
        <v>10.5</v>
      </c>
      <c r="H51" s="97">
        <v>89.5</v>
      </c>
      <c r="I51" s="97"/>
      <c r="J51" s="288">
        <v>10</v>
      </c>
      <c r="M51" s="99" t="s">
        <v>1106</v>
      </c>
      <c r="N51" s="18">
        <v>0</v>
      </c>
      <c r="O51" s="18">
        <v>0.6</v>
      </c>
      <c r="P51" s="18">
        <v>0.4</v>
      </c>
      <c r="Q51" s="18">
        <v>0.4</v>
      </c>
      <c r="R51" s="97">
        <v>10.5</v>
      </c>
      <c r="S51" s="97">
        <v>89.5</v>
      </c>
      <c r="T51" s="97"/>
      <c r="U51" s="288">
        <v>10</v>
      </c>
    </row>
    <row r="52" spans="2:21" ht="15.75" customHeight="1"/>
    <row r="53" spans="2:21" ht="36.75" customHeight="1">
      <c r="B53" s="7" t="s">
        <v>255</v>
      </c>
      <c r="C53" s="318" t="s">
        <v>48</v>
      </c>
      <c r="D53" s="318" t="s">
        <v>16</v>
      </c>
      <c r="E53" s="318" t="s">
        <v>36</v>
      </c>
      <c r="F53" s="320" t="s">
        <v>37</v>
      </c>
      <c r="G53" s="323" t="s">
        <v>689</v>
      </c>
      <c r="H53" s="322" t="s">
        <v>690</v>
      </c>
      <c r="I53" s="324"/>
      <c r="J53" s="323" t="s">
        <v>181</v>
      </c>
      <c r="K53" s="319"/>
      <c r="M53" s="7" t="s">
        <v>255</v>
      </c>
      <c r="N53" s="691" t="s">
        <v>48</v>
      </c>
      <c r="O53" s="691" t="s">
        <v>16</v>
      </c>
      <c r="P53" s="691" t="s">
        <v>36</v>
      </c>
      <c r="Q53" s="695" t="s">
        <v>37</v>
      </c>
      <c r="R53" s="697" t="s">
        <v>689</v>
      </c>
      <c r="S53" s="687" t="s">
        <v>690</v>
      </c>
      <c r="T53" s="698"/>
      <c r="U53" s="697" t="s">
        <v>181</v>
      </c>
    </row>
    <row r="54" spans="2:21" ht="15.75" customHeight="1">
      <c r="B54" s="8" t="s">
        <v>163</v>
      </c>
      <c r="C54" s="323">
        <v>0</v>
      </c>
      <c r="D54" s="323">
        <v>0</v>
      </c>
      <c r="E54" s="323">
        <v>0</v>
      </c>
      <c r="F54" s="321">
        <v>0</v>
      </c>
      <c r="G54" s="323">
        <v>0</v>
      </c>
      <c r="H54" s="237">
        <v>0</v>
      </c>
      <c r="I54" s="324"/>
      <c r="J54" s="323">
        <v>0</v>
      </c>
      <c r="K54" s="319"/>
      <c r="M54" s="8" t="s">
        <v>163</v>
      </c>
      <c r="N54" s="697">
        <v>0</v>
      </c>
      <c r="O54" s="697">
        <v>0</v>
      </c>
      <c r="P54" s="697">
        <v>0</v>
      </c>
      <c r="Q54" s="696">
        <v>0</v>
      </c>
      <c r="R54" s="697">
        <v>0</v>
      </c>
      <c r="S54" s="688">
        <v>0</v>
      </c>
      <c r="T54" s="698"/>
      <c r="U54" s="697">
        <v>0</v>
      </c>
    </row>
    <row r="55" spans="2:21" ht="15.75" customHeight="1">
      <c r="B55" s="8" t="s">
        <v>593</v>
      </c>
      <c r="C55" s="323">
        <v>61.3</v>
      </c>
      <c r="D55" s="323">
        <v>0.91</v>
      </c>
      <c r="E55" s="323">
        <v>0.48</v>
      </c>
      <c r="F55" s="323">
        <v>0.79</v>
      </c>
      <c r="G55" s="324">
        <v>70</v>
      </c>
      <c r="H55" s="324">
        <v>30</v>
      </c>
      <c r="I55" s="324"/>
      <c r="J55" s="3">
        <v>10</v>
      </c>
      <c r="K55" s="102"/>
      <c r="M55" s="8" t="s">
        <v>593</v>
      </c>
      <c r="N55" s="697">
        <v>61.3</v>
      </c>
      <c r="O55" s="697">
        <v>0.91</v>
      </c>
      <c r="P55" s="697">
        <v>0.48</v>
      </c>
      <c r="Q55" s="697">
        <v>0.79</v>
      </c>
      <c r="R55" s="698">
        <v>70</v>
      </c>
      <c r="S55" s="698">
        <v>30</v>
      </c>
      <c r="T55" s="698"/>
      <c r="U55" s="3">
        <v>10</v>
      </c>
    </row>
    <row r="56" spans="2:21" ht="14.25" customHeight="1">
      <c r="B56" s="8" t="s">
        <v>594</v>
      </c>
      <c r="C56" s="323">
        <v>58.7</v>
      </c>
      <c r="D56" s="323">
        <v>0.68</v>
      </c>
      <c r="E56" s="323">
        <v>0.3</v>
      </c>
      <c r="F56" s="323">
        <v>0.51</v>
      </c>
      <c r="G56" s="324">
        <v>70</v>
      </c>
      <c r="H56" s="324">
        <v>30</v>
      </c>
      <c r="I56" s="324"/>
      <c r="J56" s="3">
        <v>10</v>
      </c>
      <c r="K56" s="102"/>
      <c r="M56" s="8" t="s">
        <v>594</v>
      </c>
      <c r="N56" s="697">
        <v>58.7</v>
      </c>
      <c r="O56" s="697">
        <v>0.68</v>
      </c>
      <c r="P56" s="697">
        <v>0.3</v>
      </c>
      <c r="Q56" s="697">
        <v>0.51</v>
      </c>
      <c r="R56" s="698">
        <v>70</v>
      </c>
      <c r="S56" s="698">
        <v>30</v>
      </c>
      <c r="T56" s="698"/>
      <c r="U56" s="3">
        <v>10</v>
      </c>
    </row>
    <row r="57" spans="2:21" ht="15.75" customHeight="1">
      <c r="B57" s="8" t="s">
        <v>595</v>
      </c>
      <c r="C57" s="323">
        <v>33</v>
      </c>
      <c r="D57" s="323">
        <v>0.86</v>
      </c>
      <c r="E57" s="323">
        <v>0.4</v>
      </c>
      <c r="F57" s="323">
        <v>0.6</v>
      </c>
      <c r="G57" s="324">
        <v>70</v>
      </c>
      <c r="H57" s="324">
        <v>30</v>
      </c>
      <c r="I57" s="324"/>
      <c r="J57" s="3">
        <v>10</v>
      </c>
      <c r="K57" s="102"/>
      <c r="M57" s="8" t="s">
        <v>595</v>
      </c>
      <c r="N57" s="697">
        <v>33</v>
      </c>
      <c r="O57" s="697">
        <v>0.86</v>
      </c>
      <c r="P57" s="697">
        <v>0.4</v>
      </c>
      <c r="Q57" s="697">
        <v>0.6</v>
      </c>
      <c r="R57" s="698">
        <v>70</v>
      </c>
      <c r="S57" s="698">
        <v>30</v>
      </c>
      <c r="T57" s="698"/>
      <c r="U57" s="3">
        <v>10</v>
      </c>
    </row>
    <row r="58" spans="2:21" ht="15.75" customHeight="1">
      <c r="B58" s="236" t="s">
        <v>456</v>
      </c>
      <c r="C58" s="98">
        <v>0</v>
      </c>
      <c r="D58" s="98">
        <v>0</v>
      </c>
      <c r="E58" s="98">
        <v>0</v>
      </c>
      <c r="F58" s="98">
        <v>0</v>
      </c>
      <c r="G58" s="97">
        <v>70</v>
      </c>
      <c r="H58" s="97">
        <v>30</v>
      </c>
      <c r="I58" s="97"/>
      <c r="J58" s="288">
        <v>10</v>
      </c>
      <c r="K58" s="102"/>
      <c r="M58" s="236" t="s">
        <v>456</v>
      </c>
      <c r="N58" s="98">
        <v>0</v>
      </c>
      <c r="O58" s="98">
        <v>0</v>
      </c>
      <c r="P58" s="98">
        <v>0</v>
      </c>
      <c r="Q58" s="98">
        <v>0</v>
      </c>
      <c r="R58" s="97">
        <v>70</v>
      </c>
      <c r="S58" s="97">
        <v>30</v>
      </c>
      <c r="T58" s="97"/>
      <c r="U58" s="288">
        <v>10</v>
      </c>
    </row>
    <row r="59" spans="2:21" ht="15.75" customHeight="1">
      <c r="B59" s="236" t="s">
        <v>457</v>
      </c>
      <c r="C59" s="98">
        <v>0</v>
      </c>
      <c r="D59" s="98">
        <v>0</v>
      </c>
      <c r="E59" s="98">
        <v>0</v>
      </c>
      <c r="F59" s="98">
        <v>0</v>
      </c>
      <c r="G59" s="97">
        <v>70</v>
      </c>
      <c r="H59" s="97">
        <v>30</v>
      </c>
      <c r="I59" s="97"/>
      <c r="J59" s="288">
        <v>10</v>
      </c>
      <c r="K59" s="102"/>
      <c r="M59" s="236" t="s">
        <v>457</v>
      </c>
      <c r="N59" s="98">
        <v>0</v>
      </c>
      <c r="O59" s="98">
        <v>0</v>
      </c>
      <c r="P59" s="98">
        <v>0</v>
      </c>
      <c r="Q59" s="98">
        <v>0</v>
      </c>
      <c r="R59" s="97">
        <v>70</v>
      </c>
      <c r="S59" s="97">
        <v>30</v>
      </c>
      <c r="T59" s="97"/>
      <c r="U59" s="288">
        <v>10</v>
      </c>
    </row>
    <row r="60" spans="2:21" ht="15.75" customHeight="1">
      <c r="B60" s="236" t="s">
        <v>458</v>
      </c>
      <c r="C60" s="98">
        <v>0</v>
      </c>
      <c r="D60" s="98">
        <v>0</v>
      </c>
      <c r="E60" s="98">
        <v>0</v>
      </c>
      <c r="F60" s="98">
        <v>0</v>
      </c>
      <c r="G60" s="97">
        <v>70</v>
      </c>
      <c r="H60" s="97">
        <v>30</v>
      </c>
      <c r="I60" s="97"/>
      <c r="J60" s="288">
        <v>10</v>
      </c>
      <c r="M60" s="236" t="s">
        <v>458</v>
      </c>
      <c r="N60" s="98">
        <v>0</v>
      </c>
      <c r="O60" s="98">
        <v>0</v>
      </c>
      <c r="P60" s="98">
        <v>0</v>
      </c>
      <c r="Q60" s="98">
        <v>0</v>
      </c>
      <c r="R60" s="97">
        <v>70</v>
      </c>
      <c r="S60" s="97">
        <v>30</v>
      </c>
      <c r="T60" s="97"/>
      <c r="U60" s="288">
        <v>10</v>
      </c>
    </row>
    <row r="61" spans="2:21">
      <c r="M61" s="50"/>
    </row>
    <row r="62" spans="2:21">
      <c r="M62" s="50"/>
    </row>
    <row r="63" spans="2:21">
      <c r="M63" s="50"/>
    </row>
    <row r="64" spans="2:21">
      <c r="M64" s="50"/>
    </row>
    <row r="65" spans="2:18">
      <c r="M65" s="509"/>
    </row>
    <row r="66" spans="2:18" ht="15" customHeight="1">
      <c r="M66" s="50"/>
    </row>
    <row r="67" spans="2:18" ht="15.75" customHeight="1">
      <c r="B67" s="43" t="s">
        <v>93</v>
      </c>
      <c r="M67" s="43" t="s">
        <v>93</v>
      </c>
    </row>
    <row r="68" spans="2:18" ht="15.75" customHeight="1">
      <c r="B68" s="7" t="s">
        <v>103</v>
      </c>
      <c r="C68" s="1555" t="s">
        <v>50</v>
      </c>
      <c r="D68" s="1556"/>
      <c r="E68" s="1557"/>
      <c r="M68" s="7" t="s">
        <v>103</v>
      </c>
      <c r="N68" s="1555" t="s">
        <v>50</v>
      </c>
      <c r="O68" s="1556"/>
      <c r="P68" s="1557"/>
    </row>
    <row r="69" spans="2:18" ht="18.75">
      <c r="B69" s="7"/>
      <c r="C69" s="318" t="s">
        <v>16</v>
      </c>
      <c r="D69" s="318" t="s">
        <v>36</v>
      </c>
      <c r="E69" s="318" t="s">
        <v>37</v>
      </c>
      <c r="M69" s="7"/>
      <c r="N69" s="529" t="s">
        <v>16</v>
      </c>
      <c r="O69" s="529" t="s">
        <v>36</v>
      </c>
      <c r="P69" s="529" t="s">
        <v>37</v>
      </c>
    </row>
    <row r="70" spans="2:18" ht="15.75" customHeight="1">
      <c r="B70" s="8" t="s">
        <v>163</v>
      </c>
      <c r="C70" s="323">
        <v>0</v>
      </c>
      <c r="D70" s="323">
        <v>0</v>
      </c>
      <c r="E70" s="323">
        <v>0</v>
      </c>
      <c r="M70" s="8" t="s">
        <v>163</v>
      </c>
      <c r="N70" s="528">
        <v>0</v>
      </c>
      <c r="O70" s="528">
        <v>0</v>
      </c>
      <c r="P70" s="528">
        <v>0</v>
      </c>
    </row>
    <row r="71" spans="2:18" ht="15.75" customHeight="1">
      <c r="B71" s="8" t="s">
        <v>51</v>
      </c>
      <c r="C71" s="323">
        <v>15.5</v>
      </c>
      <c r="D71" s="323">
        <v>0</v>
      </c>
      <c r="E71" s="323">
        <v>0</v>
      </c>
      <c r="M71" s="8" t="s">
        <v>51</v>
      </c>
      <c r="N71" s="528">
        <v>15.5</v>
      </c>
      <c r="O71" s="528">
        <v>0</v>
      </c>
      <c r="P71" s="528">
        <v>0</v>
      </c>
    </row>
    <row r="72" spans="2:18" ht="15.75" customHeight="1">
      <c r="B72" s="8" t="s">
        <v>65</v>
      </c>
      <c r="C72" s="323">
        <v>27</v>
      </c>
      <c r="D72" s="323">
        <v>0</v>
      </c>
      <c r="E72" s="323">
        <v>0</v>
      </c>
      <c r="M72" s="8" t="s">
        <v>65</v>
      </c>
      <c r="N72" s="528">
        <v>27</v>
      </c>
      <c r="O72" s="528">
        <v>0</v>
      </c>
      <c r="P72" s="528">
        <v>0</v>
      </c>
    </row>
    <row r="73" spans="2:18" ht="16.5" customHeight="1">
      <c r="B73" s="8" t="s">
        <v>520</v>
      </c>
      <c r="C73" s="323">
        <v>22</v>
      </c>
      <c r="D73" s="323">
        <v>0</v>
      </c>
      <c r="E73" s="323">
        <v>0</v>
      </c>
      <c r="M73" s="8" t="s">
        <v>520</v>
      </c>
      <c r="N73" s="528">
        <v>22</v>
      </c>
      <c r="O73" s="528">
        <v>0</v>
      </c>
      <c r="P73" s="528">
        <v>0</v>
      </c>
    </row>
    <row r="74" spans="2:18" ht="15.75" customHeight="1">
      <c r="B74" s="8" t="s">
        <v>521</v>
      </c>
      <c r="C74" s="323">
        <v>24</v>
      </c>
      <c r="D74" s="323">
        <v>0</v>
      </c>
      <c r="E74" s="323">
        <v>0</v>
      </c>
      <c r="M74" s="8" t="s">
        <v>521</v>
      </c>
      <c r="N74" s="528">
        <v>24</v>
      </c>
      <c r="O74" s="528">
        <v>0</v>
      </c>
      <c r="P74" s="528">
        <v>0</v>
      </c>
    </row>
    <row r="75" spans="2:18" ht="15.75" customHeight="1">
      <c r="B75" s="8" t="s">
        <v>52</v>
      </c>
      <c r="C75" s="323">
        <v>24</v>
      </c>
      <c r="D75" s="323">
        <v>0</v>
      </c>
      <c r="E75" s="323">
        <v>0</v>
      </c>
      <c r="M75" s="8" t="s">
        <v>52</v>
      </c>
      <c r="N75" s="528">
        <v>24</v>
      </c>
      <c r="O75" s="528">
        <v>0</v>
      </c>
      <c r="P75" s="528">
        <v>0</v>
      </c>
    </row>
    <row r="76" spans="2:18" ht="15.75" customHeight="1">
      <c r="B76" s="8" t="s">
        <v>66</v>
      </c>
      <c r="C76" s="323">
        <v>26</v>
      </c>
      <c r="D76" s="323">
        <v>0</v>
      </c>
      <c r="E76" s="323">
        <v>0</v>
      </c>
      <c r="M76" s="8" t="s">
        <v>66</v>
      </c>
      <c r="N76" s="528">
        <v>26</v>
      </c>
      <c r="O76" s="528">
        <v>0</v>
      </c>
      <c r="P76" s="528">
        <v>0</v>
      </c>
    </row>
    <row r="77" spans="2:18" ht="18" customHeight="1">
      <c r="B77" s="8" t="s">
        <v>69</v>
      </c>
      <c r="C77" s="323">
        <v>26</v>
      </c>
      <c r="D77" s="323">
        <v>0</v>
      </c>
      <c r="E77" s="323">
        <v>0</v>
      </c>
      <c r="M77" s="8" t="s">
        <v>69</v>
      </c>
      <c r="N77" s="528">
        <v>26</v>
      </c>
      <c r="O77" s="528">
        <v>0</v>
      </c>
      <c r="P77" s="528">
        <v>0</v>
      </c>
      <c r="R77" s="50"/>
    </row>
    <row r="78" spans="2:18" ht="18" customHeight="1">
      <c r="B78" s="8" t="s">
        <v>67</v>
      </c>
      <c r="C78" s="323">
        <v>21</v>
      </c>
      <c r="D78" s="323">
        <v>0</v>
      </c>
      <c r="E78" s="323">
        <v>0</v>
      </c>
      <c r="M78" s="8" t="s">
        <v>67</v>
      </c>
      <c r="N78" s="528">
        <v>21</v>
      </c>
      <c r="O78" s="528">
        <v>0</v>
      </c>
      <c r="P78" s="528">
        <v>0</v>
      </c>
      <c r="R78" s="50"/>
    </row>
    <row r="79" spans="2:18" ht="15.75" customHeight="1">
      <c r="B79" s="8" t="s">
        <v>518</v>
      </c>
      <c r="C79" s="41">
        <v>33</v>
      </c>
      <c r="D79" s="41">
        <v>0</v>
      </c>
      <c r="E79" s="41">
        <v>0</v>
      </c>
      <c r="M79" s="8" t="s">
        <v>518</v>
      </c>
      <c r="N79" s="528">
        <v>33</v>
      </c>
      <c r="O79" s="528">
        <v>0</v>
      </c>
      <c r="P79" s="528">
        <v>0</v>
      </c>
    </row>
    <row r="80" spans="2:18" ht="16.5" customHeight="1">
      <c r="B80" s="8" t="s">
        <v>519</v>
      </c>
      <c r="C80" s="31">
        <v>38</v>
      </c>
      <c r="D80" s="41">
        <v>0</v>
      </c>
      <c r="E80" s="41">
        <v>0</v>
      </c>
      <c r="M80" s="8" t="s">
        <v>519</v>
      </c>
      <c r="N80" s="31">
        <v>38</v>
      </c>
      <c r="O80" s="528">
        <v>0</v>
      </c>
      <c r="P80" s="528">
        <v>0</v>
      </c>
    </row>
    <row r="81" spans="2:16" ht="18" customHeight="1">
      <c r="B81" s="8" t="s">
        <v>53</v>
      </c>
      <c r="C81" s="41">
        <v>46</v>
      </c>
      <c r="D81" s="41">
        <v>0</v>
      </c>
      <c r="E81" s="41">
        <v>0</v>
      </c>
      <c r="M81" s="8" t="s">
        <v>53</v>
      </c>
      <c r="N81" s="528">
        <v>46</v>
      </c>
      <c r="O81" s="528">
        <v>0</v>
      </c>
      <c r="P81" s="528">
        <v>0</v>
      </c>
    </row>
    <row r="82" spans="2:16" ht="15.75" customHeight="1">
      <c r="B82" s="8" t="s">
        <v>68</v>
      </c>
      <c r="C82" s="41">
        <v>46</v>
      </c>
      <c r="D82" s="41">
        <v>0</v>
      </c>
      <c r="E82" s="41">
        <v>0</v>
      </c>
      <c r="M82" s="8" t="s">
        <v>68</v>
      </c>
      <c r="N82" s="528">
        <v>46</v>
      </c>
      <c r="O82" s="528">
        <v>0</v>
      </c>
      <c r="P82" s="528">
        <v>0</v>
      </c>
    </row>
    <row r="83" spans="2:16" ht="17.25" customHeight="1">
      <c r="B83" s="8" t="s">
        <v>730</v>
      </c>
      <c r="C83" s="41">
        <v>28</v>
      </c>
      <c r="D83" s="41">
        <v>0</v>
      </c>
      <c r="E83" s="41">
        <v>0</v>
      </c>
      <c r="M83" s="8" t="s">
        <v>167</v>
      </c>
      <c r="N83" s="528">
        <v>28</v>
      </c>
      <c r="O83" s="528">
        <v>0</v>
      </c>
      <c r="P83" s="528">
        <v>0</v>
      </c>
    </row>
    <row r="84" spans="2:16" ht="15" customHeight="1">
      <c r="B84" s="8" t="s">
        <v>731</v>
      </c>
      <c r="C84" s="31">
        <v>30</v>
      </c>
      <c r="D84" s="41">
        <v>0</v>
      </c>
      <c r="E84" s="41">
        <v>0</v>
      </c>
      <c r="M84" s="8" t="s">
        <v>168</v>
      </c>
      <c r="N84" s="31">
        <v>30</v>
      </c>
      <c r="O84" s="528">
        <v>0</v>
      </c>
      <c r="P84" s="528">
        <v>0</v>
      </c>
    </row>
    <row r="85" spans="2:16" ht="16.5" customHeight="1">
      <c r="B85" s="8" t="s">
        <v>732</v>
      </c>
      <c r="C85" s="41">
        <v>32</v>
      </c>
      <c r="D85" s="41">
        <v>0</v>
      </c>
      <c r="E85" s="41">
        <v>0</v>
      </c>
      <c r="M85" s="8" t="s">
        <v>169</v>
      </c>
      <c r="N85" s="528">
        <v>32</v>
      </c>
      <c r="O85" s="528">
        <v>0</v>
      </c>
      <c r="P85" s="528">
        <v>0</v>
      </c>
    </row>
    <row r="86" spans="2:16" ht="16.5" customHeight="1">
      <c r="B86" s="8" t="s">
        <v>522</v>
      </c>
      <c r="C86" s="41">
        <v>28</v>
      </c>
      <c r="D86" s="41">
        <v>0</v>
      </c>
      <c r="E86" s="41">
        <v>0</v>
      </c>
      <c r="M86" s="8" t="s">
        <v>522</v>
      </c>
      <c r="N86" s="528">
        <v>28</v>
      </c>
      <c r="O86" s="528">
        <v>0</v>
      </c>
      <c r="P86" s="528">
        <v>0</v>
      </c>
    </row>
    <row r="87" spans="2:16" ht="15" customHeight="1">
      <c r="B87" s="8" t="s">
        <v>523</v>
      </c>
      <c r="C87" s="27">
        <v>25</v>
      </c>
      <c r="D87" s="27">
        <v>0</v>
      </c>
      <c r="E87" s="27">
        <v>0</v>
      </c>
      <c r="M87" s="8" t="s">
        <v>523</v>
      </c>
      <c r="N87" s="528">
        <v>25</v>
      </c>
      <c r="O87" s="528">
        <v>0</v>
      </c>
      <c r="P87" s="528">
        <v>0</v>
      </c>
    </row>
    <row r="88" spans="2:16" ht="15.75" customHeight="1">
      <c r="B88" s="8" t="s">
        <v>524</v>
      </c>
      <c r="C88" s="27">
        <v>25</v>
      </c>
      <c r="D88" s="27">
        <v>0</v>
      </c>
      <c r="E88" s="27">
        <v>0</v>
      </c>
      <c r="M88" s="8" t="s">
        <v>524</v>
      </c>
      <c r="N88" s="528">
        <v>25</v>
      </c>
      <c r="O88" s="528">
        <v>0</v>
      </c>
      <c r="P88" s="528">
        <v>0</v>
      </c>
    </row>
    <row r="89" spans="2:16" ht="15.75">
      <c r="B89" s="8" t="s">
        <v>733</v>
      </c>
      <c r="C89" s="27">
        <v>20</v>
      </c>
      <c r="D89" s="27">
        <v>0</v>
      </c>
      <c r="E89" s="27">
        <v>0</v>
      </c>
      <c r="M89" s="8" t="s">
        <v>70</v>
      </c>
      <c r="N89" s="528">
        <v>20</v>
      </c>
      <c r="O89" s="528">
        <v>0</v>
      </c>
      <c r="P89" s="528">
        <v>0</v>
      </c>
    </row>
    <row r="90" spans="2:16" ht="15.75">
      <c r="B90" s="8" t="s">
        <v>56</v>
      </c>
      <c r="C90" s="27">
        <v>8</v>
      </c>
      <c r="D90" s="27">
        <v>0</v>
      </c>
      <c r="E90" s="27">
        <v>0</v>
      </c>
      <c r="M90" s="8" t="s">
        <v>56</v>
      </c>
      <c r="N90" s="528">
        <v>8</v>
      </c>
      <c r="O90" s="528">
        <v>0</v>
      </c>
      <c r="P90" s="528">
        <v>0</v>
      </c>
    </row>
    <row r="91" spans="2:16" ht="15.75">
      <c r="B91" s="8" t="s">
        <v>54</v>
      </c>
      <c r="C91" s="27">
        <v>15</v>
      </c>
      <c r="D91" s="27">
        <v>0</v>
      </c>
      <c r="E91" s="27">
        <v>0</v>
      </c>
      <c r="M91" s="8" t="s">
        <v>54</v>
      </c>
      <c r="N91" s="528">
        <v>15</v>
      </c>
      <c r="O91" s="528">
        <v>0</v>
      </c>
      <c r="P91" s="528">
        <v>0</v>
      </c>
    </row>
    <row r="92" spans="2:16" ht="15.75" customHeight="1">
      <c r="B92" s="8" t="s">
        <v>55</v>
      </c>
      <c r="C92" s="27">
        <v>19.8</v>
      </c>
      <c r="D92" s="27">
        <v>0</v>
      </c>
      <c r="E92" s="27">
        <v>0</v>
      </c>
      <c r="M92" s="8" t="s">
        <v>55</v>
      </c>
      <c r="N92" s="528">
        <v>19.8</v>
      </c>
      <c r="O92" s="528">
        <v>0</v>
      </c>
      <c r="P92" s="528">
        <v>0</v>
      </c>
    </row>
    <row r="93" spans="2:16" ht="15.75" customHeight="1">
      <c r="B93" s="8" t="s">
        <v>734</v>
      </c>
      <c r="C93" s="27">
        <v>20</v>
      </c>
      <c r="D93" s="27">
        <v>20</v>
      </c>
      <c r="E93" s="27">
        <v>0</v>
      </c>
      <c r="M93" s="8" t="s">
        <v>525</v>
      </c>
      <c r="N93" s="528">
        <v>20</v>
      </c>
      <c r="O93" s="528">
        <v>20</v>
      </c>
      <c r="P93" s="528">
        <v>0</v>
      </c>
    </row>
    <row r="94" spans="2:16" ht="15.75" customHeight="1">
      <c r="B94" s="8" t="s">
        <v>526</v>
      </c>
      <c r="C94" s="27">
        <v>10</v>
      </c>
      <c r="D94" s="27">
        <v>34</v>
      </c>
      <c r="E94" s="27">
        <v>0</v>
      </c>
      <c r="M94" s="8" t="s">
        <v>526</v>
      </c>
      <c r="N94" s="528">
        <v>10</v>
      </c>
      <c r="O94" s="528">
        <v>34</v>
      </c>
      <c r="P94" s="528">
        <v>0</v>
      </c>
    </row>
    <row r="95" spans="2:16" ht="15" customHeight="1">
      <c r="B95" s="8" t="s">
        <v>71</v>
      </c>
      <c r="C95" s="27">
        <v>18</v>
      </c>
      <c r="D95" s="27">
        <v>46</v>
      </c>
      <c r="E95" s="27">
        <v>0</v>
      </c>
      <c r="M95" s="8" t="s">
        <v>71</v>
      </c>
      <c r="N95" s="528">
        <v>18</v>
      </c>
      <c r="O95" s="528">
        <v>46</v>
      </c>
      <c r="P95" s="528">
        <v>0</v>
      </c>
    </row>
    <row r="96" spans="2:16" ht="15.75" customHeight="1">
      <c r="B96" s="8" t="s">
        <v>735</v>
      </c>
      <c r="C96" s="27">
        <v>15</v>
      </c>
      <c r="D96" s="27">
        <v>15</v>
      </c>
      <c r="E96" s="27">
        <v>15</v>
      </c>
      <c r="M96" s="8" t="s">
        <v>318</v>
      </c>
      <c r="N96" s="528">
        <v>15</v>
      </c>
      <c r="O96" s="528">
        <v>15</v>
      </c>
      <c r="P96" s="528">
        <v>15</v>
      </c>
    </row>
    <row r="97" spans="2:16" ht="15" customHeight="1">
      <c r="B97" s="8" t="s">
        <v>736</v>
      </c>
      <c r="C97" s="31">
        <v>13</v>
      </c>
      <c r="D97" s="31">
        <v>13</v>
      </c>
      <c r="E97" s="40">
        <v>21</v>
      </c>
      <c r="M97" s="8" t="s">
        <v>319</v>
      </c>
      <c r="N97" s="31">
        <v>13</v>
      </c>
      <c r="O97" s="31">
        <v>13</v>
      </c>
      <c r="P97" s="530">
        <v>21</v>
      </c>
    </row>
    <row r="98" spans="2:16" ht="15.75" customHeight="1">
      <c r="B98" s="10" t="s">
        <v>737</v>
      </c>
      <c r="C98" s="29">
        <v>20</v>
      </c>
      <c r="D98" s="29">
        <v>8</v>
      </c>
      <c r="E98" s="29">
        <v>8</v>
      </c>
      <c r="M98" s="10" t="s">
        <v>320</v>
      </c>
      <c r="N98" s="532">
        <v>20</v>
      </c>
      <c r="O98" s="532">
        <v>8</v>
      </c>
      <c r="P98" s="532">
        <v>8</v>
      </c>
    </row>
    <row r="99" spans="2:16" ht="15.75">
      <c r="B99" s="8" t="s">
        <v>72</v>
      </c>
      <c r="C99" s="28">
        <v>0</v>
      </c>
      <c r="D99" s="27">
        <v>18</v>
      </c>
      <c r="E99" s="27">
        <v>0</v>
      </c>
      <c r="M99" s="8" t="s">
        <v>72</v>
      </c>
      <c r="N99" s="531">
        <v>0</v>
      </c>
      <c r="O99" s="528">
        <v>18</v>
      </c>
      <c r="P99" s="528">
        <v>0</v>
      </c>
    </row>
    <row r="100" spans="2:16" ht="15.75" customHeight="1">
      <c r="B100" s="8" t="s">
        <v>73</v>
      </c>
      <c r="C100" s="28">
        <v>0</v>
      </c>
      <c r="D100" s="27">
        <v>46</v>
      </c>
      <c r="E100" s="27">
        <v>0</v>
      </c>
      <c r="M100" s="8" t="s">
        <v>73</v>
      </c>
      <c r="N100" s="531">
        <v>0</v>
      </c>
      <c r="O100" s="528">
        <v>46</v>
      </c>
      <c r="P100" s="528">
        <v>0</v>
      </c>
    </row>
    <row r="101" spans="2:16" ht="15" customHeight="1">
      <c r="B101" s="8" t="s">
        <v>76</v>
      </c>
      <c r="C101" s="28">
        <v>0</v>
      </c>
      <c r="D101" s="27">
        <v>23</v>
      </c>
      <c r="E101" s="27">
        <v>0</v>
      </c>
      <c r="M101" s="8" t="s">
        <v>76</v>
      </c>
      <c r="N101" s="531">
        <v>0</v>
      </c>
      <c r="O101" s="528">
        <v>23</v>
      </c>
      <c r="P101" s="528">
        <v>0</v>
      </c>
    </row>
    <row r="102" spans="2:16" ht="18" customHeight="1">
      <c r="B102" s="8" t="s">
        <v>74</v>
      </c>
      <c r="C102" s="28">
        <v>0</v>
      </c>
      <c r="D102" s="27">
        <v>0</v>
      </c>
      <c r="E102" s="27">
        <v>11</v>
      </c>
      <c r="M102" s="8" t="s">
        <v>74</v>
      </c>
      <c r="N102" s="531">
        <v>0</v>
      </c>
      <c r="O102" s="528">
        <v>0</v>
      </c>
      <c r="P102" s="528">
        <v>11</v>
      </c>
    </row>
    <row r="103" spans="2:16" ht="14.25" customHeight="1">
      <c r="B103" s="8" t="s">
        <v>738</v>
      </c>
      <c r="C103" s="28">
        <v>0</v>
      </c>
      <c r="D103" s="27">
        <v>0</v>
      </c>
      <c r="E103" s="27">
        <v>60</v>
      </c>
      <c r="M103" s="8" t="s">
        <v>527</v>
      </c>
      <c r="N103" s="531">
        <v>0</v>
      </c>
      <c r="O103" s="528">
        <v>0</v>
      </c>
      <c r="P103" s="528">
        <v>60</v>
      </c>
    </row>
    <row r="104" spans="2:16" ht="15.75" customHeight="1">
      <c r="B104" s="8" t="s">
        <v>528</v>
      </c>
      <c r="C104" s="28">
        <v>0</v>
      </c>
      <c r="D104" s="27">
        <v>0</v>
      </c>
      <c r="E104" s="27">
        <v>40</v>
      </c>
      <c r="M104" s="8" t="s">
        <v>528</v>
      </c>
      <c r="N104" s="531">
        <v>0</v>
      </c>
      <c r="O104" s="528">
        <v>0</v>
      </c>
      <c r="P104" s="528">
        <v>40</v>
      </c>
    </row>
    <row r="105" spans="2:16" ht="17.25" customHeight="1">
      <c r="B105" s="8" t="s">
        <v>75</v>
      </c>
      <c r="C105" s="28">
        <v>0</v>
      </c>
      <c r="D105" s="27">
        <v>0</v>
      </c>
      <c r="E105" s="27">
        <v>50</v>
      </c>
      <c r="M105" s="8" t="s">
        <v>75</v>
      </c>
      <c r="N105" s="531">
        <v>0</v>
      </c>
      <c r="O105" s="528">
        <v>0</v>
      </c>
      <c r="P105" s="528">
        <v>50</v>
      </c>
    </row>
    <row r="106" spans="2:16" ht="15.75" customHeight="1">
      <c r="B106" s="8" t="s">
        <v>529</v>
      </c>
      <c r="C106" s="28">
        <v>0</v>
      </c>
      <c r="D106" s="27">
        <v>0</v>
      </c>
      <c r="E106" s="27">
        <v>30</v>
      </c>
      <c r="M106" s="8" t="s">
        <v>529</v>
      </c>
      <c r="N106" s="531">
        <v>0</v>
      </c>
      <c r="O106" s="528">
        <v>0</v>
      </c>
      <c r="P106" s="528">
        <v>30</v>
      </c>
    </row>
    <row r="107" spans="2:16" ht="15" customHeight="1">
      <c r="B107" s="8" t="s">
        <v>80</v>
      </c>
      <c r="C107" s="69">
        <v>0</v>
      </c>
      <c r="D107" s="69">
        <v>0</v>
      </c>
      <c r="E107" s="69">
        <v>0</v>
      </c>
      <c r="M107" s="8" t="s">
        <v>80</v>
      </c>
      <c r="N107" s="531">
        <v>0</v>
      </c>
      <c r="O107" s="531">
        <v>0</v>
      </c>
      <c r="P107" s="531">
        <v>0</v>
      </c>
    </row>
    <row r="108" spans="2:16" ht="14.25" customHeight="1">
      <c r="B108" s="8" t="s">
        <v>81</v>
      </c>
      <c r="C108" s="69">
        <v>0</v>
      </c>
      <c r="D108" s="69">
        <v>0</v>
      </c>
      <c r="E108" s="69">
        <v>0</v>
      </c>
      <c r="M108" s="8" t="s">
        <v>81</v>
      </c>
      <c r="N108" s="531">
        <v>0</v>
      </c>
      <c r="O108" s="531">
        <v>0</v>
      </c>
      <c r="P108" s="531">
        <v>0</v>
      </c>
    </row>
    <row r="109" spans="2:16" ht="15.75">
      <c r="B109" s="8" t="s">
        <v>82</v>
      </c>
      <c r="C109" s="69">
        <v>0</v>
      </c>
      <c r="D109" s="69">
        <v>0</v>
      </c>
      <c r="E109" s="69">
        <v>0</v>
      </c>
      <c r="M109" s="8" t="s">
        <v>82</v>
      </c>
      <c r="N109" s="531">
        <v>0</v>
      </c>
      <c r="O109" s="531">
        <v>0</v>
      </c>
      <c r="P109" s="531">
        <v>0</v>
      </c>
    </row>
    <row r="110" spans="2:16" ht="15.75" customHeight="1">
      <c r="B110" s="8" t="s">
        <v>83</v>
      </c>
      <c r="C110" s="69">
        <v>0</v>
      </c>
      <c r="D110" s="69">
        <v>0</v>
      </c>
      <c r="E110" s="69">
        <v>0</v>
      </c>
      <c r="M110" s="8" t="s">
        <v>83</v>
      </c>
      <c r="N110" s="531">
        <v>0</v>
      </c>
      <c r="O110" s="531">
        <v>0</v>
      </c>
      <c r="P110" s="531">
        <v>0</v>
      </c>
    </row>
    <row r="111" spans="2:16" ht="18" customHeight="1">
      <c r="B111" s="8" t="s">
        <v>84</v>
      </c>
      <c r="C111" s="69">
        <v>0</v>
      </c>
      <c r="D111" s="69">
        <v>0</v>
      </c>
      <c r="E111" s="69">
        <v>0</v>
      </c>
      <c r="M111" s="8" t="s">
        <v>84</v>
      </c>
      <c r="N111" s="531">
        <v>0</v>
      </c>
      <c r="O111" s="531">
        <v>0</v>
      </c>
      <c r="P111" s="531">
        <v>0</v>
      </c>
    </row>
    <row r="112" spans="2:16" ht="18" customHeight="1">
      <c r="B112" s="8" t="s">
        <v>85</v>
      </c>
      <c r="C112" s="560">
        <v>0</v>
      </c>
      <c r="D112" s="560">
        <v>0</v>
      </c>
      <c r="E112" s="560">
        <v>0</v>
      </c>
      <c r="M112" s="8" t="s">
        <v>85</v>
      </c>
      <c r="N112" s="1129">
        <v>0</v>
      </c>
      <c r="O112" s="1129">
        <v>0</v>
      </c>
      <c r="P112" s="1129">
        <v>0</v>
      </c>
    </row>
    <row r="113" spans="2:16" ht="18" customHeight="1">
      <c r="B113" s="8" t="s">
        <v>739</v>
      </c>
      <c r="C113" s="560">
        <v>0</v>
      </c>
      <c r="D113" s="560">
        <v>0</v>
      </c>
      <c r="E113" s="560">
        <v>0</v>
      </c>
      <c r="M113" s="8" t="s">
        <v>739</v>
      </c>
      <c r="N113" s="1129">
        <v>0</v>
      </c>
      <c r="O113" s="1129">
        <v>0</v>
      </c>
      <c r="P113" s="1129">
        <v>0</v>
      </c>
    </row>
    <row r="114" spans="2:16" ht="15.75" customHeight="1">
      <c r="B114" s="8" t="s">
        <v>740</v>
      </c>
      <c r="C114" s="69">
        <v>0</v>
      </c>
      <c r="D114" s="69">
        <v>0</v>
      </c>
      <c r="E114" s="69">
        <v>0</v>
      </c>
      <c r="M114" s="8" t="s">
        <v>740</v>
      </c>
      <c r="N114" s="531">
        <v>0</v>
      </c>
      <c r="O114" s="531">
        <v>0</v>
      </c>
      <c r="P114" s="531">
        <v>0</v>
      </c>
    </row>
    <row r="115" spans="2:16" ht="17.25" customHeight="1"/>
    <row r="116" spans="2:16" ht="16.5" customHeight="1"/>
    <row r="117" spans="2:16" ht="16.5" customHeight="1"/>
    <row r="136" spans="2:21">
      <c r="Q136" s="5"/>
      <c r="R136" s="5"/>
      <c r="S136" s="5"/>
      <c r="T136" s="5"/>
      <c r="U136" s="5"/>
    </row>
    <row r="138" spans="2:21" s="5" customFormat="1">
      <c r="B138"/>
      <c r="C138"/>
      <c r="D138"/>
      <c r="E138"/>
      <c r="F138"/>
      <c r="G138"/>
      <c r="H138"/>
      <c r="I138"/>
      <c r="J138"/>
      <c r="K138"/>
      <c r="L138"/>
      <c r="M138"/>
      <c r="N138"/>
      <c r="O138"/>
      <c r="P138"/>
      <c r="Q138"/>
      <c r="R138"/>
      <c r="S138"/>
      <c r="T138"/>
      <c r="U138"/>
    </row>
    <row r="143" spans="2:21" ht="15" customHeight="1"/>
    <row r="144" spans="2:21" ht="16.5" customHeight="1"/>
    <row r="145" ht="15" customHeight="1"/>
  </sheetData>
  <mergeCells count="16">
    <mergeCell ref="U3:U4"/>
    <mergeCell ref="O3:Q3"/>
    <mergeCell ref="N68:P68"/>
    <mergeCell ref="R1:T1"/>
    <mergeCell ref="M2:P2"/>
    <mergeCell ref="R3:R4"/>
    <mergeCell ref="S3:S4"/>
    <mergeCell ref="T3:T4"/>
    <mergeCell ref="G1:I1"/>
    <mergeCell ref="C68:E68"/>
    <mergeCell ref="H3:H4"/>
    <mergeCell ref="G3:G4"/>
    <mergeCell ref="J3:J4"/>
    <mergeCell ref="D3:F3"/>
    <mergeCell ref="I3:I4"/>
    <mergeCell ref="B1:F2"/>
  </mergeCell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theme="0"/>
    <pageSetUpPr fitToPage="1"/>
  </sheetPr>
  <dimension ref="A1:S109"/>
  <sheetViews>
    <sheetView zoomScale="90" zoomScaleNormal="90" workbookViewId="0">
      <selection activeCell="J26" sqref="J26"/>
    </sheetView>
  </sheetViews>
  <sheetFormatPr baseColWidth="10" defaultRowHeight="15"/>
  <cols>
    <col min="1" max="1" width="13.42578125" bestFit="1" customWidth="1"/>
    <col min="2" max="2" width="45.85546875" customWidth="1"/>
    <col min="3" max="3" width="13.85546875" customWidth="1"/>
    <col min="4" max="4" width="19.85546875" customWidth="1"/>
    <col min="5" max="5" width="9.140625" customWidth="1"/>
    <col min="6" max="6" width="6" customWidth="1"/>
    <col min="7" max="9" width="9.7109375" customWidth="1"/>
    <col min="10" max="10" width="21.28515625" customWidth="1"/>
    <col min="11" max="11" width="18.42578125" customWidth="1"/>
    <col min="12" max="12" width="43.7109375" customWidth="1"/>
    <col min="16" max="16" width="6.28515625" customWidth="1"/>
    <col min="17" max="19" width="8.28515625" customWidth="1"/>
  </cols>
  <sheetData>
    <row r="1" spans="2:19">
      <c r="L1" s="19" t="s">
        <v>455</v>
      </c>
    </row>
    <row r="2" spans="2:19" ht="15.75">
      <c r="B2" s="89" t="s">
        <v>750</v>
      </c>
      <c r="C2" s="25"/>
      <c r="D2" s="25"/>
      <c r="E2" s="25"/>
      <c r="G2" s="1568" t="s">
        <v>17</v>
      </c>
      <c r="H2" s="1569"/>
      <c r="I2" s="1569"/>
      <c r="L2" s="89" t="s">
        <v>750</v>
      </c>
      <c r="M2" s="517"/>
      <c r="N2" s="517"/>
      <c r="O2" s="517"/>
      <c r="Q2" s="1568" t="s">
        <v>17</v>
      </c>
      <c r="R2" s="1569"/>
      <c r="S2" s="1569"/>
    </row>
    <row r="3" spans="2:19" ht="31.5">
      <c r="B3" s="80" t="s">
        <v>6</v>
      </c>
      <c r="C3" s="277" t="s">
        <v>256</v>
      </c>
      <c r="D3" s="80" t="s">
        <v>7</v>
      </c>
      <c r="E3" s="80" t="s">
        <v>48</v>
      </c>
      <c r="F3" s="80"/>
      <c r="G3" s="80" t="s">
        <v>16</v>
      </c>
      <c r="H3" s="81" t="s">
        <v>36</v>
      </c>
      <c r="I3" s="81" t="s">
        <v>37</v>
      </c>
      <c r="L3" s="662" t="s">
        <v>6</v>
      </c>
      <c r="M3" s="662" t="s">
        <v>256</v>
      </c>
      <c r="N3" s="662" t="s">
        <v>7</v>
      </c>
      <c r="O3" s="662" t="s">
        <v>48</v>
      </c>
      <c r="P3" s="662"/>
      <c r="Q3" s="662" t="s">
        <v>16</v>
      </c>
      <c r="R3" s="661" t="s">
        <v>36</v>
      </c>
      <c r="S3" s="661" t="s">
        <v>37</v>
      </c>
    </row>
    <row r="4" spans="2:19" ht="15.75">
      <c r="B4" s="80" t="s">
        <v>323</v>
      </c>
      <c r="C4" s="277"/>
      <c r="D4" s="82"/>
      <c r="E4" s="82"/>
      <c r="F4" s="82"/>
      <c r="G4" s="82"/>
      <c r="H4" s="83"/>
      <c r="I4" s="83"/>
      <c r="L4" s="662" t="s">
        <v>323</v>
      </c>
      <c r="M4" s="662"/>
      <c r="N4" s="664"/>
      <c r="O4" s="664"/>
      <c r="P4" s="664"/>
      <c r="Q4" s="664"/>
      <c r="R4" s="663"/>
      <c r="S4" s="663"/>
    </row>
    <row r="5" spans="2:19" ht="15.75" customHeight="1">
      <c r="B5" s="646" t="s">
        <v>163</v>
      </c>
      <c r="C5" s="279">
        <v>0</v>
      </c>
      <c r="D5" s="82">
        <v>0</v>
      </c>
      <c r="E5" s="82">
        <v>0</v>
      </c>
      <c r="F5" s="82"/>
      <c r="G5" s="82">
        <v>0</v>
      </c>
      <c r="H5" s="83">
        <v>0</v>
      </c>
      <c r="I5" s="83">
        <v>0</v>
      </c>
      <c r="L5" s="697" t="s">
        <v>163</v>
      </c>
      <c r="M5" s="697">
        <v>0</v>
      </c>
      <c r="N5" s="664">
        <v>0</v>
      </c>
      <c r="O5" s="664">
        <v>0</v>
      </c>
      <c r="P5" s="664"/>
      <c r="Q5" s="664">
        <v>0</v>
      </c>
      <c r="R5" s="663">
        <v>0</v>
      </c>
      <c r="S5" s="663">
        <v>0</v>
      </c>
    </row>
    <row r="6" spans="2:19" ht="15.75" customHeight="1">
      <c r="B6" s="645" t="s">
        <v>870</v>
      </c>
      <c r="C6" s="279" t="s">
        <v>1017</v>
      </c>
      <c r="D6" s="82" t="s">
        <v>10</v>
      </c>
      <c r="E6" s="83">
        <v>100</v>
      </c>
      <c r="F6" s="82"/>
      <c r="G6" s="83">
        <v>1.35</v>
      </c>
      <c r="H6" s="83">
        <v>0.51</v>
      </c>
      <c r="I6" s="83">
        <v>1.61</v>
      </c>
      <c r="L6" s="703" t="s">
        <v>870</v>
      </c>
      <c r="M6" s="697" t="s">
        <v>1017</v>
      </c>
      <c r="N6" s="664" t="s">
        <v>10</v>
      </c>
      <c r="O6" s="663">
        <v>100</v>
      </c>
      <c r="P6" s="664"/>
      <c r="Q6" s="663">
        <v>1.35</v>
      </c>
      <c r="R6" s="663">
        <v>0.51</v>
      </c>
      <c r="S6" s="663">
        <v>1.61</v>
      </c>
    </row>
    <row r="7" spans="2:19" ht="15.75" customHeight="1">
      <c r="B7" s="646" t="s">
        <v>1094</v>
      </c>
      <c r="C7" s="279" t="s">
        <v>1016</v>
      </c>
      <c r="D7" s="55" t="s">
        <v>10</v>
      </c>
      <c r="E7" s="55">
        <v>100</v>
      </c>
      <c r="F7" s="98"/>
      <c r="G7" s="55">
        <v>1.6</v>
      </c>
      <c r="H7" s="55">
        <v>0.65</v>
      </c>
      <c r="I7" s="55">
        <v>1.37</v>
      </c>
      <c r="L7" s="704" t="s">
        <v>1094</v>
      </c>
      <c r="M7" s="697" t="s">
        <v>1016</v>
      </c>
      <c r="N7" s="55" t="s">
        <v>10</v>
      </c>
      <c r="O7" s="55">
        <v>100</v>
      </c>
      <c r="P7" s="98"/>
      <c r="Q7" s="55">
        <v>1.6</v>
      </c>
      <c r="R7" s="55">
        <v>0.65</v>
      </c>
      <c r="S7" s="55">
        <v>1.37</v>
      </c>
    </row>
    <row r="8" spans="2:19" ht="15.75" customHeight="1">
      <c r="B8" s="646" t="s">
        <v>1095</v>
      </c>
      <c r="C8" s="279" t="s">
        <v>1050</v>
      </c>
      <c r="D8" s="279" t="s">
        <v>10</v>
      </c>
      <c r="E8" s="279">
        <v>100</v>
      </c>
      <c r="F8" s="98"/>
      <c r="G8" s="256">
        <v>2.86</v>
      </c>
      <c r="H8" s="256">
        <v>1.1299999999999999</v>
      </c>
      <c r="I8" s="256">
        <v>3.36</v>
      </c>
      <c r="L8" s="704" t="s">
        <v>1095</v>
      </c>
      <c r="M8" s="697" t="s">
        <v>1050</v>
      </c>
      <c r="N8" s="664" t="s">
        <v>10</v>
      </c>
      <c r="O8" s="664">
        <v>100</v>
      </c>
      <c r="P8" s="98"/>
      <c r="Q8" s="256">
        <v>2.86</v>
      </c>
      <c r="R8" s="256">
        <v>1.1299999999999999</v>
      </c>
      <c r="S8" s="256">
        <v>3.36</v>
      </c>
    </row>
    <row r="9" spans="2:19" ht="15.75" customHeight="1">
      <c r="B9" s="646" t="s">
        <v>871</v>
      </c>
      <c r="C9" s="279" t="s">
        <v>1019</v>
      </c>
      <c r="D9" s="279" t="s">
        <v>10</v>
      </c>
      <c r="E9" s="279">
        <v>100</v>
      </c>
      <c r="F9" s="98"/>
      <c r="G9" s="256">
        <v>1.08</v>
      </c>
      <c r="H9" s="256">
        <v>0.96</v>
      </c>
      <c r="I9" s="256">
        <v>1.52</v>
      </c>
      <c r="L9" s="704" t="s">
        <v>871</v>
      </c>
      <c r="M9" s="697" t="s">
        <v>1019</v>
      </c>
      <c r="N9" s="664" t="s">
        <v>10</v>
      </c>
      <c r="O9" s="664">
        <v>100</v>
      </c>
      <c r="P9" s="98"/>
      <c r="Q9" s="256">
        <v>1.08</v>
      </c>
      <c r="R9" s="256">
        <v>0.96</v>
      </c>
      <c r="S9" s="256">
        <v>1.52</v>
      </c>
    </row>
    <row r="10" spans="2:19" ht="15.75" customHeight="1">
      <c r="B10" s="646" t="s">
        <v>872</v>
      </c>
      <c r="C10" s="279" t="s">
        <v>1022</v>
      </c>
      <c r="D10" s="55" t="s">
        <v>10</v>
      </c>
      <c r="E10" s="55">
        <v>100</v>
      </c>
      <c r="F10" s="98"/>
      <c r="G10" s="256">
        <v>3.25</v>
      </c>
      <c r="H10" s="256">
        <v>0.65</v>
      </c>
      <c r="I10" s="256">
        <v>3</v>
      </c>
      <c r="L10" s="704" t="s">
        <v>872</v>
      </c>
      <c r="M10" s="697" t="s">
        <v>1022</v>
      </c>
      <c r="N10" s="55" t="s">
        <v>10</v>
      </c>
      <c r="O10" s="55">
        <v>100</v>
      </c>
      <c r="P10" s="98"/>
      <c r="Q10" s="256">
        <v>3.25</v>
      </c>
      <c r="R10" s="256">
        <v>0.65</v>
      </c>
      <c r="S10" s="256">
        <v>3</v>
      </c>
    </row>
    <row r="11" spans="2:19" ht="15.75" customHeight="1">
      <c r="B11" s="646" t="s">
        <v>873</v>
      </c>
      <c r="C11" s="279" t="s">
        <v>1054</v>
      </c>
      <c r="D11" s="55" t="s">
        <v>10</v>
      </c>
      <c r="E11" s="55">
        <v>100</v>
      </c>
      <c r="F11" s="98"/>
      <c r="G11" s="256">
        <v>2.9</v>
      </c>
      <c r="H11" s="256">
        <v>0.7</v>
      </c>
      <c r="I11" s="256">
        <v>3.1</v>
      </c>
      <c r="L11" s="704" t="s">
        <v>873</v>
      </c>
      <c r="M11" s="697" t="s">
        <v>1054</v>
      </c>
      <c r="N11" s="55" t="s">
        <v>10</v>
      </c>
      <c r="O11" s="55">
        <v>100</v>
      </c>
      <c r="P11" s="98"/>
      <c r="Q11" s="256">
        <v>2.9</v>
      </c>
      <c r="R11" s="256">
        <v>0.7</v>
      </c>
      <c r="S11" s="256">
        <v>3.1</v>
      </c>
    </row>
    <row r="12" spans="2:19" ht="15.75" customHeight="1">
      <c r="B12" s="646" t="s">
        <v>874</v>
      </c>
      <c r="C12" s="279" t="s">
        <v>1052</v>
      </c>
      <c r="D12" s="55" t="s">
        <v>10</v>
      </c>
      <c r="E12" s="55">
        <v>100</v>
      </c>
      <c r="F12" s="98"/>
      <c r="G12" s="256">
        <v>3.25</v>
      </c>
      <c r="H12" s="256">
        <v>0.7</v>
      </c>
      <c r="I12" s="256">
        <v>3.25</v>
      </c>
      <c r="J12" s="283"/>
      <c r="L12" s="704" t="s">
        <v>874</v>
      </c>
      <c r="M12" s="697" t="s">
        <v>1052</v>
      </c>
      <c r="N12" s="55" t="s">
        <v>10</v>
      </c>
      <c r="O12" s="55">
        <v>100</v>
      </c>
      <c r="P12" s="98"/>
      <c r="Q12" s="256">
        <v>3.25</v>
      </c>
      <c r="R12" s="256">
        <v>0.7</v>
      </c>
      <c r="S12" s="256">
        <v>3.25</v>
      </c>
    </row>
    <row r="13" spans="2:19" ht="15.75" customHeight="1">
      <c r="B13" s="646" t="s">
        <v>875</v>
      </c>
      <c r="C13" s="279" t="s">
        <v>1055</v>
      </c>
      <c r="D13" s="55" t="s">
        <v>10</v>
      </c>
      <c r="E13" s="55">
        <v>100</v>
      </c>
      <c r="F13" s="98"/>
      <c r="G13" s="256">
        <v>2.9</v>
      </c>
      <c r="H13" s="256">
        <v>0.75</v>
      </c>
      <c r="I13" s="256">
        <v>3.25</v>
      </c>
      <c r="J13" s="25"/>
      <c r="L13" s="704" t="s">
        <v>875</v>
      </c>
      <c r="M13" s="697" t="s">
        <v>1055</v>
      </c>
      <c r="N13" s="55" t="s">
        <v>10</v>
      </c>
      <c r="O13" s="55">
        <v>100</v>
      </c>
      <c r="P13" s="98"/>
      <c r="Q13" s="256">
        <v>2.9</v>
      </c>
      <c r="R13" s="256">
        <v>0.75</v>
      </c>
      <c r="S13" s="256">
        <v>3.25</v>
      </c>
    </row>
    <row r="14" spans="2:19" ht="15.75" customHeight="1">
      <c r="B14" s="646" t="s">
        <v>876</v>
      </c>
      <c r="C14" s="279" t="s">
        <v>154</v>
      </c>
      <c r="D14" s="55" t="s">
        <v>10</v>
      </c>
      <c r="E14" s="55">
        <v>100</v>
      </c>
      <c r="F14" s="256"/>
      <c r="G14" s="700" t="s">
        <v>1042</v>
      </c>
      <c r="H14" s="49" t="s">
        <v>1043</v>
      </c>
      <c r="I14" s="49" t="s">
        <v>1043</v>
      </c>
      <c r="J14" s="283"/>
      <c r="L14" s="704" t="s">
        <v>876</v>
      </c>
      <c r="M14" s="697" t="s">
        <v>154</v>
      </c>
      <c r="N14" s="55" t="s">
        <v>10</v>
      </c>
      <c r="O14" s="55">
        <v>100</v>
      </c>
      <c r="P14" s="256"/>
      <c r="Q14" s="256">
        <v>2.8</v>
      </c>
      <c r="R14" s="256">
        <v>0.8</v>
      </c>
      <c r="S14" s="256">
        <v>3.25</v>
      </c>
    </row>
    <row r="15" spans="2:19" ht="15.75" customHeight="1">
      <c r="B15" s="651" t="s">
        <v>909</v>
      </c>
      <c r="C15" s="279" t="s">
        <v>154</v>
      </c>
      <c r="D15" s="55" t="s">
        <v>10</v>
      </c>
      <c r="E15" s="56">
        <v>100</v>
      </c>
      <c r="F15" s="49"/>
      <c r="G15" s="700" t="s">
        <v>1042</v>
      </c>
      <c r="H15" s="49" t="s">
        <v>1043</v>
      </c>
      <c r="I15" s="49" t="s">
        <v>1043</v>
      </c>
      <c r="J15" s="283"/>
      <c r="L15" s="651" t="s">
        <v>909</v>
      </c>
      <c r="M15" s="697" t="s">
        <v>154</v>
      </c>
      <c r="N15" s="55" t="s">
        <v>10</v>
      </c>
      <c r="O15" s="56">
        <v>100</v>
      </c>
      <c r="P15" s="49"/>
      <c r="Q15" s="49">
        <v>1.38</v>
      </c>
      <c r="R15" s="49">
        <v>0.5</v>
      </c>
      <c r="S15" s="49">
        <v>1.5</v>
      </c>
    </row>
    <row r="16" spans="2:19" ht="15.75" customHeight="1">
      <c r="B16" s="648" t="s">
        <v>741</v>
      </c>
      <c r="C16" s="618" t="s">
        <v>1059</v>
      </c>
      <c r="D16" s="618" t="s">
        <v>101</v>
      </c>
      <c r="E16" s="620">
        <v>50</v>
      </c>
      <c r="F16" s="618"/>
      <c r="G16" s="620">
        <v>0.76</v>
      </c>
      <c r="H16" s="620">
        <v>0.32</v>
      </c>
      <c r="I16" s="620">
        <v>0.36</v>
      </c>
      <c r="J16" s="665"/>
      <c r="L16" s="706" t="s">
        <v>741</v>
      </c>
      <c r="M16" s="697" t="s">
        <v>1059</v>
      </c>
      <c r="N16" s="664" t="s">
        <v>101</v>
      </c>
      <c r="O16" s="663">
        <v>50</v>
      </c>
      <c r="P16" s="664"/>
      <c r="Q16" s="663">
        <v>0.76</v>
      </c>
      <c r="R16" s="663">
        <v>0.32</v>
      </c>
      <c r="S16" s="663">
        <v>0.36</v>
      </c>
    </row>
    <row r="17" spans="1:19" ht="15.75" customHeight="1">
      <c r="B17" s="648" t="s">
        <v>742</v>
      </c>
      <c r="C17" s="618" t="s">
        <v>1018</v>
      </c>
      <c r="D17" s="618" t="s">
        <v>100</v>
      </c>
      <c r="E17" s="620">
        <v>60</v>
      </c>
      <c r="F17" s="618"/>
      <c r="G17" s="620">
        <v>1.01</v>
      </c>
      <c r="H17" s="620">
        <v>0.41</v>
      </c>
      <c r="I17" s="620">
        <v>0.36</v>
      </c>
      <c r="J17" s="294"/>
      <c r="L17" s="706" t="s">
        <v>742</v>
      </c>
      <c r="M17" s="697" t="s">
        <v>1018</v>
      </c>
      <c r="N17" s="664" t="s">
        <v>100</v>
      </c>
      <c r="O17" s="663">
        <v>60</v>
      </c>
      <c r="P17" s="664"/>
      <c r="Q17" s="663">
        <v>1.01</v>
      </c>
      <c r="R17" s="663">
        <v>0.41</v>
      </c>
      <c r="S17" s="663">
        <v>0.36</v>
      </c>
    </row>
    <row r="18" spans="1:19" ht="15.75" customHeight="1">
      <c r="B18" s="648" t="s">
        <v>743</v>
      </c>
      <c r="C18" s="618" t="s">
        <v>1060</v>
      </c>
      <c r="D18" s="618" t="s">
        <v>10</v>
      </c>
      <c r="E18" s="620">
        <v>89</v>
      </c>
      <c r="F18" s="618"/>
      <c r="G18" s="620">
        <v>1.22</v>
      </c>
      <c r="H18" s="620">
        <v>0.51</v>
      </c>
      <c r="I18" s="620">
        <v>1.45</v>
      </c>
      <c r="J18" s="294"/>
      <c r="L18" s="706" t="s">
        <v>743</v>
      </c>
      <c r="M18" s="697" t="s">
        <v>1060</v>
      </c>
      <c r="N18" s="664" t="s">
        <v>10</v>
      </c>
      <c r="O18" s="663">
        <v>89</v>
      </c>
      <c r="P18" s="664"/>
      <c r="Q18" s="663">
        <v>1.22</v>
      </c>
      <c r="R18" s="663">
        <v>0.51</v>
      </c>
      <c r="S18" s="663">
        <v>1.45</v>
      </c>
    </row>
    <row r="19" spans="1:19" ht="15.75" customHeight="1">
      <c r="A19" t="s">
        <v>282</v>
      </c>
      <c r="B19" s="645" t="s">
        <v>570</v>
      </c>
      <c r="C19" s="618" t="s">
        <v>996</v>
      </c>
      <c r="D19" s="618" t="s">
        <v>12</v>
      </c>
      <c r="E19" s="620">
        <v>22</v>
      </c>
      <c r="F19" s="618"/>
      <c r="G19" s="620">
        <v>0.35</v>
      </c>
      <c r="H19" s="620">
        <v>0.14000000000000001</v>
      </c>
      <c r="I19" s="620">
        <v>0.6</v>
      </c>
      <c r="K19" t="s">
        <v>282</v>
      </c>
      <c r="L19" s="703" t="s">
        <v>570</v>
      </c>
      <c r="M19" s="697" t="s">
        <v>996</v>
      </c>
      <c r="N19" s="664" t="s">
        <v>12</v>
      </c>
      <c r="O19" s="663">
        <v>22</v>
      </c>
      <c r="P19" s="664"/>
      <c r="Q19" s="663">
        <v>0.35</v>
      </c>
      <c r="R19" s="663">
        <v>0.14000000000000001</v>
      </c>
      <c r="S19" s="663">
        <v>0.6</v>
      </c>
    </row>
    <row r="20" spans="1:19" ht="15.75" customHeight="1">
      <c r="B20" s="281" t="s">
        <v>572</v>
      </c>
      <c r="C20" s="618" t="s">
        <v>1050</v>
      </c>
      <c r="D20" s="618" t="s">
        <v>13</v>
      </c>
      <c r="E20" s="620">
        <v>15</v>
      </c>
      <c r="F20" s="618"/>
      <c r="G20" s="620">
        <v>0.18</v>
      </c>
      <c r="H20" s="620">
        <v>0.09</v>
      </c>
      <c r="I20" s="620">
        <v>0.5</v>
      </c>
      <c r="L20" s="281" t="s">
        <v>572</v>
      </c>
      <c r="M20" s="697" t="s">
        <v>1050</v>
      </c>
      <c r="N20" s="664" t="s">
        <v>13</v>
      </c>
      <c r="O20" s="663">
        <v>15</v>
      </c>
      <c r="P20" s="664"/>
      <c r="Q20" s="663">
        <v>0.18</v>
      </c>
      <c r="R20" s="663">
        <v>0.09</v>
      </c>
      <c r="S20" s="663">
        <v>0.5</v>
      </c>
    </row>
    <row r="21" spans="1:19" ht="15.75" customHeight="1">
      <c r="B21" s="281" t="s">
        <v>885</v>
      </c>
      <c r="C21" s="618" t="s">
        <v>1061</v>
      </c>
      <c r="D21" s="618" t="s">
        <v>99</v>
      </c>
      <c r="E21" s="620">
        <v>15</v>
      </c>
      <c r="F21" s="618"/>
      <c r="G21" s="620">
        <v>0.3</v>
      </c>
      <c r="H21" s="620">
        <v>0.12</v>
      </c>
      <c r="I21" s="620">
        <v>0.7</v>
      </c>
      <c r="L21" s="281" t="s">
        <v>885</v>
      </c>
      <c r="M21" s="697" t="s">
        <v>1061</v>
      </c>
      <c r="N21" s="664" t="s">
        <v>99</v>
      </c>
      <c r="O21" s="663">
        <v>15</v>
      </c>
      <c r="P21" s="664"/>
      <c r="Q21" s="663">
        <v>0.3</v>
      </c>
      <c r="R21" s="663">
        <v>0.12</v>
      </c>
      <c r="S21" s="663">
        <v>0.7</v>
      </c>
    </row>
    <row r="22" spans="1:19" ht="15.75" customHeight="1">
      <c r="B22" s="281" t="s">
        <v>573</v>
      </c>
      <c r="C22" s="618" t="s">
        <v>1062</v>
      </c>
      <c r="D22" s="618" t="s">
        <v>13</v>
      </c>
      <c r="E22" s="620">
        <v>12</v>
      </c>
      <c r="F22" s="618"/>
      <c r="G22" s="620">
        <v>0.14000000000000001</v>
      </c>
      <c r="H22" s="620">
        <v>7.0000000000000007E-2</v>
      </c>
      <c r="I22" s="620">
        <v>0.45</v>
      </c>
      <c r="L22" s="281" t="s">
        <v>573</v>
      </c>
      <c r="M22" s="697" t="s">
        <v>1062</v>
      </c>
      <c r="N22" s="664" t="s">
        <v>13</v>
      </c>
      <c r="O22" s="663">
        <v>12</v>
      </c>
      <c r="P22" s="664"/>
      <c r="Q22" s="663">
        <v>0.14000000000000001</v>
      </c>
      <c r="R22" s="663">
        <v>7.0000000000000007E-2</v>
      </c>
      <c r="S22" s="663">
        <v>0.45</v>
      </c>
    </row>
    <row r="23" spans="1:19" ht="15.75" customHeight="1">
      <c r="B23" s="281" t="s">
        <v>886</v>
      </c>
      <c r="C23" s="618" t="s">
        <v>1063</v>
      </c>
      <c r="D23" s="618" t="s">
        <v>99</v>
      </c>
      <c r="E23" s="620">
        <v>12</v>
      </c>
      <c r="F23" s="618"/>
      <c r="G23" s="620">
        <v>0.24</v>
      </c>
      <c r="H23" s="620">
        <v>0.09</v>
      </c>
      <c r="I23" s="620">
        <v>0.61</v>
      </c>
      <c r="L23" s="281" t="s">
        <v>886</v>
      </c>
      <c r="M23" s="697" t="s">
        <v>1063</v>
      </c>
      <c r="N23" s="664" t="s">
        <v>99</v>
      </c>
      <c r="O23" s="663">
        <v>12</v>
      </c>
      <c r="P23" s="664"/>
      <c r="Q23" s="663">
        <v>0.24</v>
      </c>
      <c r="R23" s="663">
        <v>0.09</v>
      </c>
      <c r="S23" s="663">
        <v>0.61</v>
      </c>
    </row>
    <row r="24" spans="1:19" ht="15.75" customHeight="1">
      <c r="B24" s="645" t="s">
        <v>571</v>
      </c>
      <c r="C24" s="618" t="s">
        <v>1064</v>
      </c>
      <c r="D24" s="618" t="s">
        <v>13</v>
      </c>
      <c r="E24" s="620">
        <v>23</v>
      </c>
      <c r="F24" s="618"/>
      <c r="G24" s="620">
        <v>0.18</v>
      </c>
      <c r="H24" s="620">
        <v>0.1</v>
      </c>
      <c r="I24" s="620">
        <v>0.25</v>
      </c>
      <c r="L24" s="703" t="s">
        <v>571</v>
      </c>
      <c r="M24" s="697" t="s">
        <v>1064</v>
      </c>
      <c r="N24" s="664" t="s">
        <v>13</v>
      </c>
      <c r="O24" s="663">
        <v>23</v>
      </c>
      <c r="P24" s="664"/>
      <c r="Q24" s="663">
        <v>0.18</v>
      </c>
      <c r="R24" s="663">
        <v>0.1</v>
      </c>
      <c r="S24" s="663">
        <v>0.25</v>
      </c>
    </row>
    <row r="25" spans="1:19" ht="15.75" customHeight="1">
      <c r="B25" s="648" t="s">
        <v>744</v>
      </c>
      <c r="C25" s="618" t="s">
        <v>1020</v>
      </c>
      <c r="D25" s="618" t="s">
        <v>10</v>
      </c>
      <c r="E25" s="620">
        <v>28</v>
      </c>
      <c r="F25" s="618"/>
      <c r="G25" s="18">
        <v>0.28000000000000003</v>
      </c>
      <c r="H25" s="18">
        <v>0.14000000000000001</v>
      </c>
      <c r="I25" s="18">
        <v>0.42</v>
      </c>
      <c r="L25" s="706" t="s">
        <v>744</v>
      </c>
      <c r="M25" s="697" t="s">
        <v>1020</v>
      </c>
      <c r="N25" s="664" t="s">
        <v>10</v>
      </c>
      <c r="O25" s="663">
        <v>28</v>
      </c>
      <c r="P25" s="664"/>
      <c r="Q25" s="18">
        <v>0.28000000000000003</v>
      </c>
      <c r="R25" s="18">
        <v>0.14000000000000001</v>
      </c>
      <c r="S25" s="18">
        <v>0.42</v>
      </c>
    </row>
    <row r="26" spans="1:19" ht="15.75" customHeight="1">
      <c r="B26" s="648" t="s">
        <v>745</v>
      </c>
      <c r="C26" s="618" t="s">
        <v>1021</v>
      </c>
      <c r="D26" s="618" t="s">
        <v>10</v>
      </c>
      <c r="E26" s="620">
        <v>28</v>
      </c>
      <c r="F26" s="618"/>
      <c r="G26" s="18">
        <v>0.31</v>
      </c>
      <c r="H26" s="18">
        <v>0.11</v>
      </c>
      <c r="I26" s="18">
        <v>0.42</v>
      </c>
      <c r="L26" s="706" t="s">
        <v>745</v>
      </c>
      <c r="M26" s="697" t="s">
        <v>1021</v>
      </c>
      <c r="N26" s="664" t="s">
        <v>10</v>
      </c>
      <c r="O26" s="663">
        <v>28</v>
      </c>
      <c r="P26" s="664"/>
      <c r="Q26" s="18">
        <v>0.31</v>
      </c>
      <c r="R26" s="18">
        <v>0.11</v>
      </c>
      <c r="S26" s="18">
        <v>0.42</v>
      </c>
    </row>
    <row r="27" spans="1:19" ht="15.75" customHeight="1">
      <c r="B27" s="646" t="s">
        <v>746</v>
      </c>
      <c r="C27" s="618" t="s">
        <v>1065</v>
      </c>
      <c r="D27" s="618" t="s">
        <v>10</v>
      </c>
      <c r="E27" s="620">
        <v>15</v>
      </c>
      <c r="F27" s="618"/>
      <c r="G27" s="620">
        <v>0.43</v>
      </c>
      <c r="H27" s="620">
        <v>0.13</v>
      </c>
      <c r="I27" s="620">
        <v>0.8</v>
      </c>
      <c r="L27" s="704" t="s">
        <v>746</v>
      </c>
      <c r="M27" s="697" t="s">
        <v>1065</v>
      </c>
      <c r="N27" s="664" t="s">
        <v>10</v>
      </c>
      <c r="O27" s="663">
        <v>15</v>
      </c>
      <c r="P27" s="664"/>
      <c r="Q27" s="663">
        <v>0.43</v>
      </c>
      <c r="R27" s="663">
        <v>0.13</v>
      </c>
      <c r="S27" s="663">
        <v>0.8</v>
      </c>
    </row>
    <row r="28" spans="1:19" ht="15.75" customHeight="1">
      <c r="B28" s="647" t="s">
        <v>747</v>
      </c>
      <c r="C28" s="618" t="s">
        <v>993</v>
      </c>
      <c r="D28" s="618" t="s">
        <v>10</v>
      </c>
      <c r="E28" s="620">
        <v>23</v>
      </c>
      <c r="F28" s="618"/>
      <c r="G28" s="620">
        <v>0.47</v>
      </c>
      <c r="H28" s="620">
        <v>0.12</v>
      </c>
      <c r="I28" s="620">
        <v>0.6</v>
      </c>
      <c r="L28" s="705" t="s">
        <v>747</v>
      </c>
      <c r="M28" s="697" t="s">
        <v>993</v>
      </c>
      <c r="N28" s="664" t="s">
        <v>10</v>
      </c>
      <c r="O28" s="663">
        <v>23</v>
      </c>
      <c r="P28" s="664"/>
      <c r="Q28" s="663">
        <v>0.47</v>
      </c>
      <c r="R28" s="663">
        <v>0.12</v>
      </c>
      <c r="S28" s="663">
        <v>0.6</v>
      </c>
    </row>
    <row r="29" spans="1:19" ht="15.75" customHeight="1">
      <c r="B29" s="3" t="s">
        <v>887</v>
      </c>
      <c r="C29" s="618" t="s">
        <v>1066</v>
      </c>
      <c r="D29" s="618" t="s">
        <v>10</v>
      </c>
      <c r="E29" s="620">
        <v>28</v>
      </c>
      <c r="F29" s="618"/>
      <c r="G29" s="620">
        <v>0.34</v>
      </c>
      <c r="H29" s="620">
        <v>0.17</v>
      </c>
      <c r="I29" s="620">
        <v>0.72</v>
      </c>
      <c r="L29" s="3" t="s">
        <v>887</v>
      </c>
      <c r="M29" s="697" t="s">
        <v>1066</v>
      </c>
      <c r="N29" s="664" t="s">
        <v>10</v>
      </c>
      <c r="O29" s="663">
        <v>28</v>
      </c>
      <c r="P29" s="664"/>
      <c r="Q29" s="663">
        <v>0.34</v>
      </c>
      <c r="R29" s="663">
        <v>0.17</v>
      </c>
      <c r="S29" s="663">
        <v>0.72</v>
      </c>
    </row>
    <row r="30" spans="1:19" ht="15.75" customHeight="1">
      <c r="B30" s="646" t="s">
        <v>748</v>
      </c>
      <c r="C30" s="618" t="s">
        <v>1012</v>
      </c>
      <c r="D30" s="618" t="s">
        <v>10</v>
      </c>
      <c r="E30" s="620">
        <v>86</v>
      </c>
      <c r="F30" s="618"/>
      <c r="G30" s="620">
        <v>1</v>
      </c>
      <c r="H30" s="620">
        <v>0.64</v>
      </c>
      <c r="I30" s="620">
        <v>1.6</v>
      </c>
      <c r="L30" s="704" t="s">
        <v>748</v>
      </c>
      <c r="M30" s="697" t="s">
        <v>1012</v>
      </c>
      <c r="N30" s="664" t="s">
        <v>10</v>
      </c>
      <c r="O30" s="663">
        <v>86</v>
      </c>
      <c r="P30" s="664"/>
      <c r="Q30" s="663">
        <v>1</v>
      </c>
      <c r="R30" s="663">
        <v>0.64</v>
      </c>
      <c r="S30" s="663">
        <v>1.6</v>
      </c>
    </row>
    <row r="31" spans="1:19" ht="15.75" customHeight="1">
      <c r="B31" s="646" t="s">
        <v>577</v>
      </c>
      <c r="C31" s="618" t="s">
        <v>1013</v>
      </c>
      <c r="D31" s="618" t="s">
        <v>10</v>
      </c>
      <c r="E31" s="620">
        <v>40</v>
      </c>
      <c r="F31" s="618"/>
      <c r="G31" s="620">
        <v>0.4</v>
      </c>
      <c r="H31" s="620">
        <v>0.3</v>
      </c>
      <c r="I31" s="620">
        <v>0.8</v>
      </c>
      <c r="J31" s="104"/>
      <c r="L31" s="704" t="s">
        <v>577</v>
      </c>
      <c r="M31" s="697" t="s">
        <v>1013</v>
      </c>
      <c r="N31" s="664" t="s">
        <v>10</v>
      </c>
      <c r="O31" s="663">
        <v>40</v>
      </c>
      <c r="P31" s="664"/>
      <c r="Q31" s="663">
        <v>0.4</v>
      </c>
      <c r="R31" s="663">
        <v>0.3</v>
      </c>
      <c r="S31" s="663">
        <v>0.8</v>
      </c>
    </row>
    <row r="32" spans="1:19" ht="15.75" customHeight="1">
      <c r="B32" s="646" t="s">
        <v>576</v>
      </c>
      <c r="C32" s="618" t="s">
        <v>1014</v>
      </c>
      <c r="D32" s="618" t="s">
        <v>10</v>
      </c>
      <c r="E32" s="620">
        <v>80</v>
      </c>
      <c r="F32" s="618"/>
      <c r="G32" s="620">
        <v>0.15</v>
      </c>
      <c r="H32" s="620">
        <v>0.12</v>
      </c>
      <c r="I32" s="620">
        <v>0.6</v>
      </c>
      <c r="J32" s="104"/>
      <c r="L32" s="704" t="s">
        <v>576</v>
      </c>
      <c r="M32" s="697" t="s">
        <v>1014</v>
      </c>
      <c r="N32" s="664" t="s">
        <v>10</v>
      </c>
      <c r="O32" s="663">
        <v>80</v>
      </c>
      <c r="P32" s="664"/>
      <c r="Q32" s="663">
        <v>0.15</v>
      </c>
      <c r="R32" s="663">
        <v>0.12</v>
      </c>
      <c r="S32" s="663">
        <v>0.6</v>
      </c>
    </row>
    <row r="33" spans="1:19" ht="15.75" customHeight="1">
      <c r="A33" t="s">
        <v>321</v>
      </c>
      <c r="B33" s="646" t="s">
        <v>966</v>
      </c>
      <c r="C33" s="618" t="s">
        <v>1068</v>
      </c>
      <c r="D33" s="618" t="s">
        <v>322</v>
      </c>
      <c r="E33" s="620">
        <v>35</v>
      </c>
      <c r="F33" s="618"/>
      <c r="G33" s="620">
        <v>1.01</v>
      </c>
      <c r="H33" s="620">
        <v>0.32</v>
      </c>
      <c r="I33" s="620">
        <v>1.3</v>
      </c>
      <c r="J33" s="104"/>
      <c r="K33" t="s">
        <v>321</v>
      </c>
      <c r="L33" s="697" t="s">
        <v>966</v>
      </c>
      <c r="M33" s="697" t="s">
        <v>1068</v>
      </c>
      <c r="N33" s="664" t="s">
        <v>322</v>
      </c>
      <c r="O33" s="663">
        <v>35</v>
      </c>
      <c r="P33" s="664"/>
      <c r="Q33" s="663">
        <v>1.01</v>
      </c>
      <c r="R33" s="663">
        <v>0.32</v>
      </c>
      <c r="S33" s="663">
        <v>1.3</v>
      </c>
    </row>
    <row r="34" spans="1:19" ht="15.75" customHeight="1">
      <c r="B34" s="646" t="s">
        <v>967</v>
      </c>
      <c r="C34" s="618" t="s">
        <v>1067</v>
      </c>
      <c r="D34" s="618" t="s">
        <v>322</v>
      </c>
      <c r="E34" s="620">
        <v>35</v>
      </c>
      <c r="F34" s="618"/>
      <c r="G34" s="620">
        <v>0.97</v>
      </c>
      <c r="H34" s="620">
        <v>0.3</v>
      </c>
      <c r="I34" s="620">
        <v>1.05</v>
      </c>
      <c r="L34" s="697" t="s">
        <v>967</v>
      </c>
      <c r="M34" s="697" t="s">
        <v>1067</v>
      </c>
      <c r="N34" s="664" t="s">
        <v>322</v>
      </c>
      <c r="O34" s="663">
        <v>35</v>
      </c>
      <c r="P34" s="664"/>
      <c r="Q34" s="663">
        <v>0.97</v>
      </c>
      <c r="R34" s="663">
        <v>0.3</v>
      </c>
      <c r="S34" s="663">
        <v>1.05</v>
      </c>
    </row>
    <row r="35" spans="1:19" ht="15.75" customHeight="1">
      <c r="B35" s="646" t="s">
        <v>965</v>
      </c>
      <c r="C35" s="618" t="s">
        <v>1069</v>
      </c>
      <c r="D35" s="618" t="s">
        <v>322</v>
      </c>
      <c r="E35" s="620">
        <v>35</v>
      </c>
      <c r="F35" s="618"/>
      <c r="G35" s="620">
        <v>0.95</v>
      </c>
      <c r="H35" s="620">
        <v>0.3</v>
      </c>
      <c r="I35" s="620">
        <v>1.0900000000000001</v>
      </c>
      <c r="L35" s="697" t="s">
        <v>965</v>
      </c>
      <c r="M35" s="697" t="s">
        <v>1069</v>
      </c>
      <c r="N35" s="664" t="s">
        <v>322</v>
      </c>
      <c r="O35" s="663">
        <v>35</v>
      </c>
      <c r="P35" s="664"/>
      <c r="Q35" s="663">
        <v>0.95</v>
      </c>
      <c r="R35" s="663">
        <v>0.3</v>
      </c>
      <c r="S35" s="663">
        <v>1.0900000000000001</v>
      </c>
    </row>
    <row r="36" spans="1:19" ht="15.75" customHeight="1">
      <c r="B36" s="646" t="s">
        <v>749</v>
      </c>
      <c r="C36" s="618" t="s">
        <v>1070</v>
      </c>
      <c r="D36" s="618" t="s">
        <v>322</v>
      </c>
      <c r="E36" s="620">
        <v>35</v>
      </c>
      <c r="F36" s="618"/>
      <c r="G36" s="23">
        <v>1.04</v>
      </c>
      <c r="H36" s="23">
        <v>0.32</v>
      </c>
      <c r="I36" s="23">
        <v>1.1299999999999999</v>
      </c>
      <c r="L36" s="697" t="s">
        <v>749</v>
      </c>
      <c r="M36" s="697" t="s">
        <v>1070</v>
      </c>
      <c r="N36" s="664" t="s">
        <v>322</v>
      </c>
      <c r="O36" s="663">
        <v>35</v>
      </c>
      <c r="P36" s="664"/>
      <c r="Q36" s="23">
        <v>1.04</v>
      </c>
      <c r="R36" s="23">
        <v>0.32</v>
      </c>
      <c r="S36" s="23">
        <v>1.1299999999999999</v>
      </c>
    </row>
    <row r="37" spans="1:19" ht="15.75" customHeight="1">
      <c r="B37" s="646" t="s">
        <v>713</v>
      </c>
      <c r="C37" s="618" t="s">
        <v>991</v>
      </c>
      <c r="D37" s="618" t="s">
        <v>322</v>
      </c>
      <c r="E37" s="620">
        <v>35</v>
      </c>
      <c r="F37" s="618"/>
      <c r="G37" s="23">
        <v>0.92400000000000004</v>
      </c>
      <c r="H37" s="23">
        <v>0.24045</v>
      </c>
      <c r="I37" s="23">
        <v>1.26</v>
      </c>
      <c r="J37" s="25"/>
      <c r="L37" s="697" t="s">
        <v>713</v>
      </c>
      <c r="M37" s="697" t="s">
        <v>991</v>
      </c>
      <c r="N37" s="664" t="s">
        <v>322</v>
      </c>
      <c r="O37" s="663">
        <v>35</v>
      </c>
      <c r="P37" s="664"/>
      <c r="Q37" s="23">
        <v>0.92400000000000004</v>
      </c>
      <c r="R37" s="23">
        <v>0.24045</v>
      </c>
      <c r="S37" s="23">
        <v>1.26</v>
      </c>
    </row>
    <row r="38" spans="1:19" ht="15.75" customHeight="1">
      <c r="B38" s="646" t="s">
        <v>714</v>
      </c>
      <c r="C38" s="618" t="s">
        <v>1071</v>
      </c>
      <c r="D38" s="618" t="s">
        <v>322</v>
      </c>
      <c r="E38" s="620">
        <v>25</v>
      </c>
      <c r="F38" s="618"/>
      <c r="G38" s="23">
        <v>0.6</v>
      </c>
      <c r="H38" s="23">
        <v>0.24045</v>
      </c>
      <c r="I38" s="23">
        <v>0.9</v>
      </c>
      <c r="J38" s="25"/>
      <c r="L38" s="697" t="s">
        <v>714</v>
      </c>
      <c r="M38" s="697" t="s">
        <v>1071</v>
      </c>
      <c r="N38" s="664" t="s">
        <v>322</v>
      </c>
      <c r="O38" s="663">
        <v>25</v>
      </c>
      <c r="P38" s="664"/>
      <c r="Q38" s="23">
        <v>0.6</v>
      </c>
      <c r="R38" s="23">
        <v>0.24045</v>
      </c>
      <c r="S38" s="23">
        <v>0.9</v>
      </c>
    </row>
    <row r="39" spans="1:19" ht="15.75" customHeight="1">
      <c r="B39" s="646" t="s">
        <v>715</v>
      </c>
      <c r="C39" s="618" t="s">
        <v>1072</v>
      </c>
      <c r="D39" s="618" t="s">
        <v>322</v>
      </c>
      <c r="E39" s="620">
        <v>35</v>
      </c>
      <c r="F39" s="618"/>
      <c r="G39" s="23">
        <v>0.55999999999999994</v>
      </c>
      <c r="H39" s="23">
        <v>0.23</v>
      </c>
      <c r="I39" s="23">
        <v>0.504</v>
      </c>
      <c r="J39" s="25"/>
      <c r="L39" s="697" t="s">
        <v>715</v>
      </c>
      <c r="M39" s="697" t="s">
        <v>1072</v>
      </c>
      <c r="N39" s="664" t="s">
        <v>322</v>
      </c>
      <c r="O39" s="663">
        <v>35</v>
      </c>
      <c r="P39" s="664"/>
      <c r="Q39" s="23">
        <v>0.55999999999999994</v>
      </c>
      <c r="R39" s="23">
        <v>0.22442000000000001</v>
      </c>
      <c r="S39" s="23">
        <v>0.504</v>
      </c>
    </row>
    <row r="40" spans="1:19" ht="15.75" customHeight="1">
      <c r="B40" s="646" t="s">
        <v>716</v>
      </c>
      <c r="C40" s="618" t="s">
        <v>1073</v>
      </c>
      <c r="D40" s="618" t="s">
        <v>322</v>
      </c>
      <c r="E40" s="620">
        <v>30</v>
      </c>
      <c r="F40" s="618"/>
      <c r="G40" s="23">
        <v>0.4032</v>
      </c>
      <c r="H40" s="23">
        <v>0.15114</v>
      </c>
      <c r="I40" s="23">
        <v>0.39599999999999996</v>
      </c>
      <c r="J40" s="25"/>
      <c r="L40" s="697" t="s">
        <v>716</v>
      </c>
      <c r="M40" s="697" t="s">
        <v>1073</v>
      </c>
      <c r="N40" s="664" t="s">
        <v>322</v>
      </c>
      <c r="O40" s="663">
        <v>30</v>
      </c>
      <c r="P40" s="664"/>
      <c r="Q40" s="23">
        <v>0.4032</v>
      </c>
      <c r="R40" s="23">
        <v>0.15114</v>
      </c>
      <c r="S40" s="23">
        <v>0.39599999999999996</v>
      </c>
    </row>
    <row r="41" spans="1:19" ht="15.75" customHeight="1">
      <c r="B41" s="646" t="s">
        <v>717</v>
      </c>
      <c r="C41" s="618" t="s">
        <v>1074</v>
      </c>
      <c r="D41" s="618" t="s">
        <v>322</v>
      </c>
      <c r="E41" s="620">
        <v>35</v>
      </c>
      <c r="F41" s="618"/>
      <c r="G41" s="23">
        <v>0.45919999999999994</v>
      </c>
      <c r="H41" s="23">
        <v>0.17633000000000001</v>
      </c>
      <c r="I41" s="23">
        <v>0.46200000000000002</v>
      </c>
      <c r="J41" s="25"/>
      <c r="L41" s="697" t="s">
        <v>717</v>
      </c>
      <c r="M41" s="697" t="s">
        <v>1074</v>
      </c>
      <c r="N41" s="664" t="s">
        <v>322</v>
      </c>
      <c r="O41" s="663">
        <v>35</v>
      </c>
      <c r="P41" s="664"/>
      <c r="Q41" s="23">
        <v>0.45919999999999994</v>
      </c>
      <c r="R41" s="23">
        <v>0.17633000000000001</v>
      </c>
      <c r="S41" s="23">
        <v>0.46200000000000002</v>
      </c>
    </row>
    <row r="42" spans="1:19" ht="15.75" customHeight="1">
      <c r="B42" s="646" t="s">
        <v>718</v>
      </c>
      <c r="C42" s="618" t="s">
        <v>1075</v>
      </c>
      <c r="D42" s="618" t="s">
        <v>87</v>
      </c>
      <c r="E42" s="620">
        <v>86</v>
      </c>
      <c r="F42" s="618"/>
      <c r="G42" s="23">
        <v>1.8163199999999999</v>
      </c>
      <c r="H42" s="23">
        <v>0.66959600000000008</v>
      </c>
      <c r="I42" s="23">
        <v>2.58</v>
      </c>
      <c r="J42" s="25"/>
      <c r="L42" s="697" t="s">
        <v>718</v>
      </c>
      <c r="M42" s="697" t="s">
        <v>1075</v>
      </c>
      <c r="N42" s="664" t="s">
        <v>87</v>
      </c>
      <c r="O42" s="663">
        <v>86</v>
      </c>
      <c r="P42" s="664"/>
      <c r="Q42" s="23">
        <v>1.8163199999999999</v>
      </c>
      <c r="R42" s="23">
        <v>0.66959600000000008</v>
      </c>
      <c r="S42" s="23">
        <v>2.58</v>
      </c>
    </row>
    <row r="43" spans="1:19" ht="15.75" customHeight="1">
      <c r="B43" s="646" t="s">
        <v>719</v>
      </c>
      <c r="C43" s="618" t="s">
        <v>1076</v>
      </c>
      <c r="D43" s="618" t="s">
        <v>87</v>
      </c>
      <c r="E43" s="620">
        <v>86</v>
      </c>
      <c r="F43" s="618"/>
      <c r="G43" s="23">
        <v>1.3484799999999999</v>
      </c>
      <c r="H43" s="23">
        <v>0.49234999999999995</v>
      </c>
      <c r="I43" s="23">
        <v>2.0639999999999996</v>
      </c>
      <c r="J43" s="25"/>
      <c r="L43" s="697" t="s">
        <v>719</v>
      </c>
      <c r="M43" s="697" t="s">
        <v>1076</v>
      </c>
      <c r="N43" s="664" t="s">
        <v>87</v>
      </c>
      <c r="O43" s="663">
        <v>86</v>
      </c>
      <c r="P43" s="664"/>
      <c r="Q43" s="23">
        <v>1.3484799999999999</v>
      </c>
      <c r="R43" s="23">
        <v>0.49234999999999995</v>
      </c>
      <c r="S43" s="23">
        <v>2.0639999999999996</v>
      </c>
    </row>
    <row r="44" spans="1:19" ht="15.75" customHeight="1">
      <c r="B44" s="646" t="s">
        <v>720</v>
      </c>
      <c r="C44" s="618" t="s">
        <v>1077</v>
      </c>
      <c r="D44" s="618" t="s">
        <v>87</v>
      </c>
      <c r="E44" s="620">
        <v>86</v>
      </c>
      <c r="F44" s="618"/>
      <c r="G44" s="23">
        <v>2.1328000000000005</v>
      </c>
      <c r="H44" s="23">
        <v>0.68928999999999996</v>
      </c>
      <c r="I44" s="23">
        <v>2.6831999999999998</v>
      </c>
      <c r="J44" s="25"/>
      <c r="L44" s="697" t="s">
        <v>720</v>
      </c>
      <c r="M44" s="697" t="s">
        <v>1077</v>
      </c>
      <c r="N44" s="664" t="s">
        <v>87</v>
      </c>
      <c r="O44" s="663">
        <v>86</v>
      </c>
      <c r="P44" s="664"/>
      <c r="Q44" s="23">
        <v>2.1328000000000005</v>
      </c>
      <c r="R44" s="23">
        <v>0.68928999999999996</v>
      </c>
      <c r="S44" s="23">
        <v>2.6831999999999998</v>
      </c>
    </row>
    <row r="45" spans="1:19" ht="15.75" customHeight="1">
      <c r="B45" s="646" t="s">
        <v>721</v>
      </c>
      <c r="C45" s="618" t="s">
        <v>1078</v>
      </c>
      <c r="D45" s="618" t="s">
        <v>87</v>
      </c>
      <c r="E45" s="620">
        <v>86</v>
      </c>
      <c r="F45" s="618"/>
      <c r="G45" s="23">
        <v>1.6512</v>
      </c>
      <c r="H45" s="23">
        <v>0.57112600000000002</v>
      </c>
      <c r="I45" s="23">
        <v>2.2704</v>
      </c>
      <c r="J45" s="25"/>
      <c r="L45" s="697" t="s">
        <v>721</v>
      </c>
      <c r="M45" s="697" t="s">
        <v>1078</v>
      </c>
      <c r="N45" s="664" t="s">
        <v>87</v>
      </c>
      <c r="O45" s="663">
        <v>86</v>
      </c>
      <c r="P45" s="664"/>
      <c r="Q45" s="23">
        <v>1.6512</v>
      </c>
      <c r="R45" s="23">
        <v>0.57112600000000002</v>
      </c>
      <c r="S45" s="23">
        <v>2.2704</v>
      </c>
    </row>
    <row r="46" spans="1:19" ht="15.75" customHeight="1">
      <c r="B46" s="646" t="s">
        <v>968</v>
      </c>
      <c r="C46" s="618" t="s">
        <v>1079</v>
      </c>
      <c r="D46" s="618" t="s">
        <v>87</v>
      </c>
      <c r="E46" s="620">
        <v>86</v>
      </c>
      <c r="F46" s="618"/>
      <c r="G46" s="23">
        <v>2.5455999999999999</v>
      </c>
      <c r="H46" s="23">
        <v>0.68928999999999996</v>
      </c>
      <c r="I46" s="23">
        <v>3.0960000000000001</v>
      </c>
      <c r="J46" s="25"/>
      <c r="L46" s="697" t="s">
        <v>968</v>
      </c>
      <c r="M46" s="697" t="s">
        <v>1079</v>
      </c>
      <c r="N46" s="664" t="s">
        <v>87</v>
      </c>
      <c r="O46" s="663">
        <v>86</v>
      </c>
      <c r="P46" s="664"/>
      <c r="Q46" s="23">
        <v>2.5455999999999999</v>
      </c>
      <c r="R46" s="23">
        <v>0.68928999999999996</v>
      </c>
      <c r="S46" s="23">
        <v>3.0960000000000001</v>
      </c>
    </row>
    <row r="47" spans="1:19" ht="15.75" customHeight="1">
      <c r="B47" s="646" t="s">
        <v>969</v>
      </c>
      <c r="C47" s="618" t="s">
        <v>1080</v>
      </c>
      <c r="D47" s="618" t="s">
        <v>87</v>
      </c>
      <c r="E47" s="620">
        <v>86</v>
      </c>
      <c r="F47" s="618"/>
      <c r="G47" s="23">
        <v>2.4492800000000003</v>
      </c>
      <c r="H47" s="23">
        <v>0.61051400000000011</v>
      </c>
      <c r="I47" s="23">
        <v>2.7863999999999995</v>
      </c>
      <c r="J47" s="25"/>
      <c r="L47" s="697" t="s">
        <v>969</v>
      </c>
      <c r="M47" s="697" t="s">
        <v>1080</v>
      </c>
      <c r="N47" s="664" t="s">
        <v>87</v>
      </c>
      <c r="O47" s="663">
        <v>86</v>
      </c>
      <c r="P47" s="664"/>
      <c r="Q47" s="23">
        <v>2.4492800000000003</v>
      </c>
      <c r="R47" s="23">
        <v>0.61051400000000011</v>
      </c>
      <c r="S47" s="23">
        <v>2.7863999999999995</v>
      </c>
    </row>
    <row r="48" spans="1:19" ht="15.75" customHeight="1">
      <c r="A48" t="s">
        <v>8</v>
      </c>
      <c r="B48" s="646" t="s">
        <v>1035</v>
      </c>
      <c r="C48" s="618" t="s">
        <v>1081</v>
      </c>
      <c r="D48" s="618" t="s">
        <v>8</v>
      </c>
      <c r="E48" s="620">
        <v>86</v>
      </c>
      <c r="F48" s="618"/>
      <c r="G48" s="620">
        <v>0.5</v>
      </c>
      <c r="H48" s="620">
        <v>0.3</v>
      </c>
      <c r="I48" s="620">
        <v>1.4</v>
      </c>
      <c r="J48" s="25"/>
      <c r="K48" t="s">
        <v>8</v>
      </c>
      <c r="L48" s="697" t="s">
        <v>1035</v>
      </c>
      <c r="M48" s="697" t="s">
        <v>1081</v>
      </c>
      <c r="N48" s="664" t="s">
        <v>8</v>
      </c>
      <c r="O48" s="663">
        <v>86</v>
      </c>
      <c r="P48" s="664"/>
      <c r="Q48" s="663">
        <v>0.5</v>
      </c>
      <c r="R48" s="663">
        <v>0.3</v>
      </c>
      <c r="S48" s="663">
        <v>1.4</v>
      </c>
    </row>
    <row r="49" spans="1:19" ht="15.75" customHeight="1">
      <c r="B49" s="646" t="s">
        <v>1034</v>
      </c>
      <c r="C49" s="618" t="s">
        <v>1028</v>
      </c>
      <c r="D49" s="618" t="s">
        <v>8</v>
      </c>
      <c r="E49" s="620">
        <v>86</v>
      </c>
      <c r="F49" s="618"/>
      <c r="G49" s="620">
        <v>0.5</v>
      </c>
      <c r="H49" s="620">
        <v>0.3</v>
      </c>
      <c r="I49" s="620">
        <v>1.7</v>
      </c>
      <c r="J49" s="25"/>
      <c r="L49" s="697" t="s">
        <v>1034</v>
      </c>
      <c r="M49" s="697" t="s">
        <v>1028</v>
      </c>
      <c r="N49" s="664" t="s">
        <v>8</v>
      </c>
      <c r="O49" s="663">
        <v>86</v>
      </c>
      <c r="P49" s="664"/>
      <c r="Q49" s="663">
        <v>0.5</v>
      </c>
      <c r="R49" s="663">
        <v>0.3</v>
      </c>
      <c r="S49" s="663">
        <v>1.7</v>
      </c>
    </row>
    <row r="50" spans="1:19" ht="15.75" customHeight="1">
      <c r="B50" s="646" t="s">
        <v>888</v>
      </c>
      <c r="C50" s="618" t="s">
        <v>1082</v>
      </c>
      <c r="D50" s="618" t="s">
        <v>8</v>
      </c>
      <c r="E50" s="620">
        <v>86</v>
      </c>
      <c r="F50" s="618"/>
      <c r="G50" s="620">
        <v>0.5</v>
      </c>
      <c r="H50" s="620">
        <v>0.3</v>
      </c>
      <c r="I50" s="620">
        <v>2</v>
      </c>
      <c r="J50" s="25"/>
      <c r="L50" s="697" t="s">
        <v>888</v>
      </c>
      <c r="M50" s="697" t="s">
        <v>1082</v>
      </c>
      <c r="N50" s="664" t="s">
        <v>8</v>
      </c>
      <c r="O50" s="663">
        <v>86</v>
      </c>
      <c r="P50" s="664"/>
      <c r="Q50" s="663">
        <v>0.5</v>
      </c>
      <c r="R50" s="663">
        <v>0.3</v>
      </c>
      <c r="S50" s="663">
        <v>2</v>
      </c>
    </row>
    <row r="51" spans="1:19" ht="15.75" customHeight="1">
      <c r="B51" s="646" t="s">
        <v>889</v>
      </c>
      <c r="C51" s="618" t="s">
        <v>1049</v>
      </c>
      <c r="D51" s="618" t="s">
        <v>8</v>
      </c>
      <c r="E51" s="620">
        <v>86</v>
      </c>
      <c r="F51" s="618"/>
      <c r="G51" s="620">
        <v>0.5</v>
      </c>
      <c r="H51" s="620">
        <v>0.3</v>
      </c>
      <c r="I51" s="620">
        <v>1.7</v>
      </c>
      <c r="J51" s="25"/>
      <c r="L51" s="697" t="s">
        <v>889</v>
      </c>
      <c r="M51" s="697" t="s">
        <v>1049</v>
      </c>
      <c r="N51" s="664" t="s">
        <v>8</v>
      </c>
      <c r="O51" s="663">
        <v>86</v>
      </c>
      <c r="P51" s="664"/>
      <c r="Q51" s="663">
        <v>0.5</v>
      </c>
      <c r="R51" s="663">
        <v>0.3</v>
      </c>
      <c r="S51" s="663">
        <v>1.7</v>
      </c>
    </row>
    <row r="52" spans="1:19" ht="15.75" customHeight="1">
      <c r="B52" s="646" t="s">
        <v>890</v>
      </c>
      <c r="C52" s="618" t="s">
        <v>1083</v>
      </c>
      <c r="D52" s="618" t="s">
        <v>8</v>
      </c>
      <c r="E52" s="620">
        <v>86</v>
      </c>
      <c r="F52" s="618"/>
      <c r="G52" s="620">
        <v>0.5</v>
      </c>
      <c r="H52" s="620">
        <v>0.3</v>
      </c>
      <c r="I52" s="620">
        <v>1.7</v>
      </c>
      <c r="J52" s="25"/>
      <c r="L52" s="697" t="s">
        <v>890</v>
      </c>
      <c r="M52" s="697" t="s">
        <v>1083</v>
      </c>
      <c r="N52" s="664" t="s">
        <v>8</v>
      </c>
      <c r="O52" s="663">
        <v>86</v>
      </c>
      <c r="P52" s="664"/>
      <c r="Q52" s="663">
        <v>0.5</v>
      </c>
      <c r="R52" s="663">
        <v>0.3</v>
      </c>
      <c r="S52" s="663">
        <v>1.7</v>
      </c>
    </row>
    <row r="53" spans="1:19" ht="15.75" customHeight="1">
      <c r="B53" s="646" t="s">
        <v>891</v>
      </c>
      <c r="C53" s="618" t="s">
        <v>1084</v>
      </c>
      <c r="D53" s="618" t="s">
        <v>8</v>
      </c>
      <c r="E53" s="620">
        <v>86</v>
      </c>
      <c r="F53" s="618"/>
      <c r="G53" s="620">
        <v>0.5</v>
      </c>
      <c r="H53" s="620">
        <v>0.3</v>
      </c>
      <c r="I53" s="620">
        <v>2</v>
      </c>
      <c r="J53" s="25"/>
      <c r="L53" s="697" t="s">
        <v>891</v>
      </c>
      <c r="M53" s="697" t="s">
        <v>1084</v>
      </c>
      <c r="N53" s="664" t="s">
        <v>8</v>
      </c>
      <c r="O53" s="663">
        <v>86</v>
      </c>
      <c r="P53" s="664"/>
      <c r="Q53" s="663">
        <v>0.5</v>
      </c>
      <c r="R53" s="663">
        <v>0.3</v>
      </c>
      <c r="S53" s="663">
        <v>2</v>
      </c>
    </row>
    <row r="54" spans="1:19" ht="15.75" customHeight="1">
      <c r="A54" t="s">
        <v>111</v>
      </c>
      <c r="B54" s="646" t="s">
        <v>962</v>
      </c>
      <c r="C54" s="618" t="s">
        <v>1044</v>
      </c>
      <c r="D54" s="618" t="s">
        <v>11</v>
      </c>
      <c r="E54" s="620">
        <v>86</v>
      </c>
      <c r="F54" s="618"/>
      <c r="G54" s="620">
        <v>1.81</v>
      </c>
      <c r="H54" s="620">
        <v>0.8</v>
      </c>
      <c r="I54" s="620">
        <v>0.6</v>
      </c>
      <c r="J54" s="25"/>
      <c r="K54" t="s">
        <v>111</v>
      </c>
      <c r="L54" s="697" t="s">
        <v>962</v>
      </c>
      <c r="M54" s="697" t="s">
        <v>1044</v>
      </c>
      <c r="N54" s="664" t="s">
        <v>11</v>
      </c>
      <c r="O54" s="663">
        <v>86</v>
      </c>
      <c r="P54" s="664"/>
      <c r="Q54" s="663">
        <v>1.81</v>
      </c>
      <c r="R54" s="663">
        <v>0.8</v>
      </c>
      <c r="S54" s="663">
        <v>0.6</v>
      </c>
    </row>
    <row r="55" spans="1:19" ht="15.75" customHeight="1">
      <c r="B55" s="646" t="s">
        <v>892</v>
      </c>
      <c r="C55" s="697" t="s">
        <v>111</v>
      </c>
      <c r="D55" s="618" t="s">
        <v>11</v>
      </c>
      <c r="E55" s="620">
        <v>86</v>
      </c>
      <c r="F55" s="618"/>
      <c r="G55" s="620">
        <v>1.65</v>
      </c>
      <c r="H55" s="620">
        <v>0.8</v>
      </c>
      <c r="I55" s="620">
        <v>0.6</v>
      </c>
      <c r="J55" s="104"/>
      <c r="L55" s="697" t="s">
        <v>892</v>
      </c>
      <c r="M55" s="697" t="s">
        <v>111</v>
      </c>
      <c r="N55" s="664" t="s">
        <v>11</v>
      </c>
      <c r="O55" s="663">
        <v>86</v>
      </c>
      <c r="P55" s="664"/>
      <c r="Q55" s="663">
        <v>1.65</v>
      </c>
      <c r="R55" s="663">
        <v>0.8</v>
      </c>
      <c r="S55" s="663">
        <v>0.6</v>
      </c>
    </row>
    <row r="56" spans="1:19" ht="15.75" customHeight="1">
      <c r="B56" s="646" t="s">
        <v>893</v>
      </c>
      <c r="C56" s="697" t="s">
        <v>111</v>
      </c>
      <c r="D56" s="618" t="s">
        <v>11</v>
      </c>
      <c r="E56" s="620">
        <v>86</v>
      </c>
      <c r="F56" s="618"/>
      <c r="G56" s="620">
        <v>1.51</v>
      </c>
      <c r="H56" s="620">
        <v>0.8</v>
      </c>
      <c r="I56" s="620">
        <v>0.6</v>
      </c>
      <c r="J56" s="104"/>
      <c r="L56" s="697" t="s">
        <v>893</v>
      </c>
      <c r="M56" s="697" t="s">
        <v>111</v>
      </c>
      <c r="N56" s="664" t="s">
        <v>11</v>
      </c>
      <c r="O56" s="663">
        <v>86</v>
      </c>
      <c r="P56" s="664"/>
      <c r="Q56" s="663">
        <v>1.51</v>
      </c>
      <c r="R56" s="663">
        <v>0.8</v>
      </c>
      <c r="S56" s="663">
        <v>0.6</v>
      </c>
    </row>
    <row r="57" spans="1:19" ht="15.75" customHeight="1">
      <c r="B57" s="646" t="s">
        <v>894</v>
      </c>
      <c r="C57" s="697" t="s">
        <v>111</v>
      </c>
      <c r="D57" s="618" t="s">
        <v>11</v>
      </c>
      <c r="E57" s="620">
        <v>86</v>
      </c>
      <c r="F57" s="618"/>
      <c r="G57" s="620">
        <v>1.65</v>
      </c>
      <c r="H57" s="620">
        <v>0.8</v>
      </c>
      <c r="I57" s="620">
        <v>0.6</v>
      </c>
      <c r="J57" s="104"/>
      <c r="L57" s="697" t="s">
        <v>894</v>
      </c>
      <c r="M57" s="697" t="s">
        <v>111</v>
      </c>
      <c r="N57" s="664" t="s">
        <v>11</v>
      </c>
      <c r="O57" s="663">
        <v>86</v>
      </c>
      <c r="P57" s="664"/>
      <c r="Q57" s="663">
        <v>1.65</v>
      </c>
      <c r="R57" s="663">
        <v>0.8</v>
      </c>
      <c r="S57" s="663">
        <v>0.6</v>
      </c>
    </row>
    <row r="58" spans="1:19" ht="15.75" customHeight="1">
      <c r="B58" s="646" t="s">
        <v>970</v>
      </c>
      <c r="C58" s="697" t="s">
        <v>111</v>
      </c>
      <c r="D58" s="618" t="s">
        <v>11</v>
      </c>
      <c r="E58" s="620">
        <v>86</v>
      </c>
      <c r="F58" s="618"/>
      <c r="G58" s="620">
        <v>1.65</v>
      </c>
      <c r="H58" s="620">
        <v>0.8</v>
      </c>
      <c r="I58" s="620">
        <v>0.6</v>
      </c>
      <c r="J58" s="104"/>
      <c r="L58" s="697" t="s">
        <v>970</v>
      </c>
      <c r="M58" s="697" t="s">
        <v>111</v>
      </c>
      <c r="N58" s="664" t="s">
        <v>11</v>
      </c>
      <c r="O58" s="663">
        <v>86</v>
      </c>
      <c r="P58" s="664"/>
      <c r="Q58" s="663">
        <v>1.65</v>
      </c>
      <c r="R58" s="663">
        <v>0.8</v>
      </c>
      <c r="S58" s="663">
        <v>0.6</v>
      </c>
    </row>
    <row r="59" spans="1:19" ht="15.75" customHeight="1">
      <c r="B59" s="646" t="s">
        <v>896</v>
      </c>
      <c r="C59" s="697" t="s">
        <v>111</v>
      </c>
      <c r="D59" s="618" t="s">
        <v>11</v>
      </c>
      <c r="E59" s="620">
        <v>86</v>
      </c>
      <c r="F59" s="618"/>
      <c r="G59" s="620">
        <v>1.38</v>
      </c>
      <c r="H59" s="620">
        <v>0.8</v>
      </c>
      <c r="I59" s="620">
        <v>0.6</v>
      </c>
      <c r="J59" s="104"/>
      <c r="L59" s="697" t="s">
        <v>896</v>
      </c>
      <c r="M59" s="697" t="s">
        <v>111</v>
      </c>
      <c r="N59" s="664" t="s">
        <v>11</v>
      </c>
      <c r="O59" s="663">
        <v>86</v>
      </c>
      <c r="P59" s="664"/>
      <c r="Q59" s="663">
        <v>1.38</v>
      </c>
      <c r="R59" s="663">
        <v>0.8</v>
      </c>
      <c r="S59" s="663">
        <v>0.6</v>
      </c>
    </row>
    <row r="60" spans="1:19" ht="15.75" customHeight="1">
      <c r="B60" s="646" t="s">
        <v>897</v>
      </c>
      <c r="C60" s="697" t="s">
        <v>111</v>
      </c>
      <c r="D60" s="618" t="s">
        <v>11</v>
      </c>
      <c r="E60" s="620">
        <v>86</v>
      </c>
      <c r="F60" s="618"/>
      <c r="G60" s="620">
        <v>1.51</v>
      </c>
      <c r="H60" s="620">
        <v>0.8</v>
      </c>
      <c r="I60" s="620">
        <v>0.6</v>
      </c>
      <c r="J60" s="104"/>
      <c r="L60" s="697" t="s">
        <v>897</v>
      </c>
      <c r="M60" s="697" t="s">
        <v>111</v>
      </c>
      <c r="N60" s="664" t="s">
        <v>11</v>
      </c>
      <c r="O60" s="663">
        <v>86</v>
      </c>
      <c r="P60" s="664"/>
      <c r="Q60" s="663">
        <v>1.51</v>
      </c>
      <c r="R60" s="663">
        <v>0.8</v>
      </c>
      <c r="S60" s="663">
        <v>0.6</v>
      </c>
    </row>
    <row r="61" spans="1:19" ht="15.75" customHeight="1">
      <c r="B61" s="646" t="s">
        <v>898</v>
      </c>
      <c r="C61" s="697" t="s">
        <v>111</v>
      </c>
      <c r="D61" s="618" t="s">
        <v>11</v>
      </c>
      <c r="E61" s="620">
        <v>86</v>
      </c>
      <c r="F61" s="618"/>
      <c r="G61" s="620">
        <v>1.38</v>
      </c>
      <c r="H61" s="620">
        <v>0.8</v>
      </c>
      <c r="I61" s="620">
        <v>0.5</v>
      </c>
      <c r="J61" s="104"/>
      <c r="L61" s="697" t="s">
        <v>898</v>
      </c>
      <c r="M61" s="697" t="s">
        <v>111</v>
      </c>
      <c r="N61" s="664" t="s">
        <v>11</v>
      </c>
      <c r="O61" s="663">
        <v>86</v>
      </c>
      <c r="P61" s="664"/>
      <c r="Q61" s="663">
        <v>1.38</v>
      </c>
      <c r="R61" s="663">
        <v>0.8</v>
      </c>
      <c r="S61" s="663">
        <v>0.5</v>
      </c>
    </row>
    <row r="62" spans="1:19" ht="15.75" customHeight="1">
      <c r="B62" s="646" t="s">
        <v>899</v>
      </c>
      <c r="C62" s="697" t="s">
        <v>1044</v>
      </c>
      <c r="D62" s="618" t="s">
        <v>11</v>
      </c>
      <c r="E62" s="620">
        <v>86</v>
      </c>
      <c r="F62" s="618"/>
      <c r="G62" s="620">
        <v>1.6</v>
      </c>
      <c r="H62" s="620">
        <v>0.8</v>
      </c>
      <c r="I62" s="620">
        <v>0.8</v>
      </c>
      <c r="J62" s="104"/>
      <c r="L62" s="697" t="s">
        <v>899</v>
      </c>
      <c r="M62" s="697" t="s">
        <v>1044</v>
      </c>
      <c r="N62" s="664" t="s">
        <v>11</v>
      </c>
      <c r="O62" s="663">
        <v>86</v>
      </c>
      <c r="P62" s="664"/>
      <c r="Q62" s="663">
        <v>1.6</v>
      </c>
      <c r="R62" s="663">
        <v>0.8</v>
      </c>
      <c r="S62" s="663">
        <v>0.8</v>
      </c>
    </row>
    <row r="63" spans="1:19" ht="15.75" customHeight="1">
      <c r="B63" s="646" t="s">
        <v>900</v>
      </c>
      <c r="C63" s="697" t="s">
        <v>1044</v>
      </c>
      <c r="D63" s="618" t="s">
        <v>11</v>
      </c>
      <c r="E63" s="620">
        <v>86</v>
      </c>
      <c r="F63" s="618"/>
      <c r="G63" s="620">
        <v>1.81</v>
      </c>
      <c r="H63" s="620">
        <v>0.8</v>
      </c>
      <c r="I63" s="620">
        <v>0.6</v>
      </c>
      <c r="J63" s="104"/>
      <c r="L63" s="697" t="s">
        <v>900</v>
      </c>
      <c r="M63" s="697" t="s">
        <v>1044</v>
      </c>
      <c r="N63" s="664" t="s">
        <v>11</v>
      </c>
      <c r="O63" s="663">
        <v>86</v>
      </c>
      <c r="P63" s="664"/>
      <c r="Q63" s="663">
        <v>1.81</v>
      </c>
      <c r="R63" s="663">
        <v>0.8</v>
      </c>
      <c r="S63" s="663">
        <v>0.6</v>
      </c>
    </row>
    <row r="64" spans="1:19" ht="15.75" customHeight="1">
      <c r="B64" s="646" t="s">
        <v>901</v>
      </c>
      <c r="C64" s="697" t="s">
        <v>1044</v>
      </c>
      <c r="D64" s="618" t="s">
        <v>11</v>
      </c>
      <c r="E64" s="620">
        <v>86</v>
      </c>
      <c r="F64" s="618"/>
      <c r="G64" s="620">
        <v>1.81</v>
      </c>
      <c r="H64" s="620">
        <v>0.8</v>
      </c>
      <c r="I64" s="620">
        <v>0.6</v>
      </c>
      <c r="J64" s="104"/>
      <c r="L64" s="697" t="s">
        <v>901</v>
      </c>
      <c r="M64" s="697" t="s">
        <v>1044</v>
      </c>
      <c r="N64" s="664" t="s">
        <v>11</v>
      </c>
      <c r="O64" s="663">
        <v>86</v>
      </c>
      <c r="P64" s="664"/>
      <c r="Q64" s="663">
        <v>1.81</v>
      </c>
      <c r="R64" s="663">
        <v>0.8</v>
      </c>
      <c r="S64" s="663">
        <v>0.6</v>
      </c>
    </row>
    <row r="65" spans="1:19" ht="15.75" customHeight="1">
      <c r="B65" s="646" t="s">
        <v>971</v>
      </c>
      <c r="C65" s="697" t="s">
        <v>111</v>
      </c>
      <c r="D65" s="618" t="s">
        <v>11</v>
      </c>
      <c r="E65" s="620">
        <v>86</v>
      </c>
      <c r="F65" s="618"/>
      <c r="G65" s="620">
        <v>1.6</v>
      </c>
      <c r="H65" s="620">
        <v>0.8</v>
      </c>
      <c r="I65" s="620">
        <v>0.6</v>
      </c>
      <c r="J65" s="104"/>
      <c r="L65" s="697" t="s">
        <v>971</v>
      </c>
      <c r="M65" s="697" t="s">
        <v>111</v>
      </c>
      <c r="N65" s="664" t="s">
        <v>11</v>
      </c>
      <c r="O65" s="663">
        <v>86</v>
      </c>
      <c r="P65" s="664"/>
      <c r="Q65" s="663">
        <v>1.6</v>
      </c>
      <c r="R65" s="663">
        <v>0.8</v>
      </c>
      <c r="S65" s="663">
        <v>0.6</v>
      </c>
    </row>
    <row r="66" spans="1:19" ht="15.75" customHeight="1">
      <c r="A66" t="s">
        <v>324</v>
      </c>
      <c r="B66" s="646" t="s">
        <v>964</v>
      </c>
      <c r="C66" s="618" t="s">
        <v>1045</v>
      </c>
      <c r="D66" s="618" t="s">
        <v>11</v>
      </c>
      <c r="E66" s="620">
        <v>86</v>
      </c>
      <c r="F66" s="618"/>
      <c r="G66" s="620">
        <v>4.0999999999999996</v>
      </c>
      <c r="H66" s="620">
        <v>1.2</v>
      </c>
      <c r="I66" s="620">
        <v>1.4</v>
      </c>
      <c r="J66" s="104"/>
      <c r="K66" t="s">
        <v>324</v>
      </c>
      <c r="L66" s="697" t="s">
        <v>964</v>
      </c>
      <c r="M66" s="697" t="s">
        <v>1045</v>
      </c>
      <c r="N66" s="664" t="s">
        <v>11</v>
      </c>
      <c r="O66" s="663">
        <v>86</v>
      </c>
      <c r="P66" s="664"/>
      <c r="Q66" s="663">
        <v>4.0999999999999996</v>
      </c>
      <c r="R66" s="663">
        <v>1.2</v>
      </c>
      <c r="S66" s="663">
        <v>1.4</v>
      </c>
    </row>
    <row r="67" spans="1:19" ht="15.75" customHeight="1">
      <c r="B67" s="646" t="s">
        <v>902</v>
      </c>
      <c r="C67" s="697" t="s">
        <v>1045</v>
      </c>
      <c r="D67" s="618" t="s">
        <v>11</v>
      </c>
      <c r="E67" s="620">
        <v>86</v>
      </c>
      <c r="F67" s="618"/>
      <c r="G67" s="620">
        <v>3.6</v>
      </c>
      <c r="H67" s="620">
        <v>1.1000000000000001</v>
      </c>
      <c r="I67" s="620">
        <v>1.4</v>
      </c>
      <c r="J67" s="104"/>
      <c r="L67" s="697" t="s">
        <v>902</v>
      </c>
      <c r="M67" s="697" t="s">
        <v>1045</v>
      </c>
      <c r="N67" s="664" t="s">
        <v>11</v>
      </c>
      <c r="O67" s="663">
        <v>86</v>
      </c>
      <c r="P67" s="664"/>
      <c r="Q67" s="663">
        <v>3.6</v>
      </c>
      <c r="R67" s="663">
        <v>1.1000000000000001</v>
      </c>
      <c r="S67" s="663">
        <v>1.4</v>
      </c>
    </row>
    <row r="68" spans="1:19" ht="15.75" customHeight="1">
      <c r="B68" s="646" t="s">
        <v>904</v>
      </c>
      <c r="C68" s="697" t="s">
        <v>1045</v>
      </c>
      <c r="D68" s="618" t="s">
        <v>11</v>
      </c>
      <c r="E68" s="620">
        <v>86</v>
      </c>
      <c r="F68" s="618"/>
      <c r="G68" s="620">
        <v>4.4800000000000004</v>
      </c>
      <c r="H68" s="620">
        <v>1.02</v>
      </c>
      <c r="I68" s="620">
        <v>1.66</v>
      </c>
      <c r="J68" s="104"/>
      <c r="L68" s="697" t="s">
        <v>904</v>
      </c>
      <c r="M68" s="697" t="s">
        <v>1045</v>
      </c>
      <c r="N68" s="664" t="s">
        <v>11</v>
      </c>
      <c r="O68" s="663">
        <v>86</v>
      </c>
      <c r="P68" s="664"/>
      <c r="Q68" s="663">
        <v>4.4800000000000004</v>
      </c>
      <c r="R68" s="663">
        <v>1.02</v>
      </c>
      <c r="S68" s="663">
        <v>1.66</v>
      </c>
    </row>
    <row r="69" spans="1:19" ht="15.75" customHeight="1">
      <c r="B69" s="646" t="s">
        <v>905</v>
      </c>
      <c r="C69" s="697" t="s">
        <v>1045</v>
      </c>
      <c r="D69" s="618" t="s">
        <v>11</v>
      </c>
      <c r="E69" s="620">
        <v>86</v>
      </c>
      <c r="F69" s="618"/>
      <c r="G69" s="620">
        <v>4.4000000000000004</v>
      </c>
      <c r="H69" s="620">
        <v>1.5</v>
      </c>
      <c r="I69" s="620">
        <v>1.94</v>
      </c>
      <c r="J69" s="104"/>
      <c r="L69" s="697" t="s">
        <v>905</v>
      </c>
      <c r="M69" s="697" t="s">
        <v>1045</v>
      </c>
      <c r="N69" s="664" t="s">
        <v>11</v>
      </c>
      <c r="O69" s="663">
        <v>86</v>
      </c>
      <c r="P69" s="664"/>
      <c r="Q69" s="663">
        <v>4.4000000000000004</v>
      </c>
      <c r="R69" s="663">
        <v>1.5</v>
      </c>
      <c r="S69" s="663">
        <v>1.94</v>
      </c>
    </row>
    <row r="70" spans="1:19" ht="15.75" customHeight="1">
      <c r="A70" t="s">
        <v>325</v>
      </c>
      <c r="B70" s="646" t="s">
        <v>867</v>
      </c>
      <c r="C70" s="618" t="s">
        <v>992</v>
      </c>
      <c r="D70" s="618" t="s">
        <v>11</v>
      </c>
      <c r="E70" s="620">
        <v>91</v>
      </c>
      <c r="F70" s="618"/>
      <c r="G70" s="620">
        <v>3.35</v>
      </c>
      <c r="H70" s="620">
        <v>1.8</v>
      </c>
      <c r="I70" s="620">
        <v>1</v>
      </c>
      <c r="J70" s="104"/>
      <c r="K70" t="s">
        <v>325</v>
      </c>
      <c r="L70" s="697" t="s">
        <v>867</v>
      </c>
      <c r="M70" s="697" t="s">
        <v>992</v>
      </c>
      <c r="N70" s="664" t="s">
        <v>11</v>
      </c>
      <c r="O70" s="663">
        <v>91</v>
      </c>
      <c r="P70" s="664"/>
      <c r="Q70" s="663">
        <v>3.35</v>
      </c>
      <c r="R70" s="663">
        <v>1.8</v>
      </c>
      <c r="S70" s="663">
        <v>1</v>
      </c>
    </row>
    <row r="71" spans="1:19" ht="15.75" customHeight="1">
      <c r="B71" s="646" t="s">
        <v>587</v>
      </c>
      <c r="C71" s="618" t="s">
        <v>993</v>
      </c>
      <c r="D71" s="618" t="s">
        <v>11</v>
      </c>
      <c r="E71" s="620">
        <v>91</v>
      </c>
      <c r="F71" s="618"/>
      <c r="G71" s="620">
        <v>2.91</v>
      </c>
      <c r="H71" s="620">
        <v>1.6</v>
      </c>
      <c r="I71" s="620">
        <v>2.4</v>
      </c>
      <c r="J71" s="104"/>
      <c r="L71" s="697" t="s">
        <v>587</v>
      </c>
      <c r="M71" s="697" t="s">
        <v>993</v>
      </c>
      <c r="N71" s="664" t="s">
        <v>11</v>
      </c>
      <c r="O71" s="663">
        <v>91</v>
      </c>
      <c r="P71" s="664"/>
      <c r="Q71" s="663">
        <v>2.91</v>
      </c>
      <c r="R71" s="663">
        <v>1.6</v>
      </c>
      <c r="S71" s="663">
        <v>2.4</v>
      </c>
    </row>
    <row r="72" spans="1:19" ht="15.75" customHeight="1">
      <c r="B72" s="646" t="s">
        <v>568</v>
      </c>
      <c r="C72" s="618" t="s">
        <v>994</v>
      </c>
      <c r="D72" s="618" t="s">
        <v>11</v>
      </c>
      <c r="E72" s="620">
        <v>91</v>
      </c>
      <c r="F72" s="618"/>
      <c r="G72" s="620">
        <v>3.5</v>
      </c>
      <c r="H72" s="620">
        <v>1.2</v>
      </c>
      <c r="I72" s="620">
        <v>1</v>
      </c>
      <c r="J72" s="104"/>
      <c r="L72" s="697" t="s">
        <v>568</v>
      </c>
      <c r="M72" s="697" t="s">
        <v>994</v>
      </c>
      <c r="N72" s="664" t="s">
        <v>11</v>
      </c>
      <c r="O72" s="663">
        <v>91</v>
      </c>
      <c r="P72" s="664"/>
      <c r="Q72" s="663">
        <v>3.5</v>
      </c>
      <c r="R72" s="663">
        <v>1.2</v>
      </c>
      <c r="S72" s="663">
        <v>1</v>
      </c>
    </row>
    <row r="73" spans="1:19" ht="15.75" customHeight="1">
      <c r="B73" s="646" t="s">
        <v>569</v>
      </c>
      <c r="C73" s="618" t="s">
        <v>995</v>
      </c>
      <c r="D73" s="618" t="s">
        <v>11</v>
      </c>
      <c r="E73" s="620">
        <v>91</v>
      </c>
      <c r="F73" s="618"/>
      <c r="G73" s="23">
        <v>5.08</v>
      </c>
      <c r="H73" s="23">
        <v>1.77</v>
      </c>
      <c r="I73" s="23">
        <v>0.93</v>
      </c>
      <c r="J73" s="104"/>
      <c r="L73" s="697" t="s">
        <v>569</v>
      </c>
      <c r="M73" s="697" t="s">
        <v>995</v>
      </c>
      <c r="N73" s="664" t="s">
        <v>11</v>
      </c>
      <c r="O73" s="663">
        <v>91</v>
      </c>
      <c r="P73" s="664"/>
      <c r="Q73" s="23">
        <v>5.08</v>
      </c>
      <c r="R73" s="23">
        <v>1.77</v>
      </c>
      <c r="S73" s="23">
        <v>0.93</v>
      </c>
    </row>
    <row r="74" spans="1:19" ht="15.75" customHeight="1">
      <c r="A74" t="s">
        <v>326</v>
      </c>
      <c r="B74" s="646" t="s">
        <v>921</v>
      </c>
      <c r="C74" s="618" t="s">
        <v>1046</v>
      </c>
      <c r="D74" s="618"/>
      <c r="E74" s="620">
        <v>65</v>
      </c>
      <c r="F74" s="618"/>
      <c r="G74" s="23">
        <v>1.56</v>
      </c>
      <c r="H74" s="23">
        <v>0.19500000000000001</v>
      </c>
      <c r="I74" s="23">
        <v>0.8</v>
      </c>
      <c r="J74" s="104"/>
      <c r="K74" t="s">
        <v>326</v>
      </c>
      <c r="L74" s="697" t="s">
        <v>921</v>
      </c>
      <c r="M74" s="697" t="s">
        <v>1046</v>
      </c>
      <c r="N74" s="664"/>
      <c r="O74" s="663">
        <v>65</v>
      </c>
      <c r="P74" s="664"/>
      <c r="Q74" s="23">
        <v>1.56</v>
      </c>
      <c r="R74" s="23">
        <v>0.19500000000000001</v>
      </c>
      <c r="S74" s="23">
        <v>0.8</v>
      </c>
    </row>
    <row r="75" spans="1:19" ht="15.75" customHeight="1">
      <c r="B75" s="646" t="s">
        <v>906</v>
      </c>
      <c r="C75" s="618" t="s">
        <v>1047</v>
      </c>
      <c r="D75" s="618"/>
      <c r="E75" s="620">
        <v>91</v>
      </c>
      <c r="F75" s="618"/>
      <c r="G75" s="23">
        <v>1.46</v>
      </c>
      <c r="H75" s="23">
        <v>0.16399999999999998</v>
      </c>
      <c r="I75" s="23">
        <v>1.54</v>
      </c>
      <c r="J75" s="104"/>
      <c r="L75" s="697" t="s">
        <v>906</v>
      </c>
      <c r="M75" s="697" t="s">
        <v>1047</v>
      </c>
      <c r="N75" s="664"/>
      <c r="O75" s="663">
        <v>91</v>
      </c>
      <c r="P75" s="664"/>
      <c r="Q75" s="23">
        <v>1.46</v>
      </c>
      <c r="R75" s="23">
        <v>0.16399999999999998</v>
      </c>
      <c r="S75" s="23">
        <v>1.54</v>
      </c>
    </row>
    <row r="76" spans="1:19" ht="15.75" customHeight="1">
      <c r="B76" s="646" t="s">
        <v>907</v>
      </c>
      <c r="C76" s="618" t="s">
        <v>1048</v>
      </c>
      <c r="D76" s="618"/>
      <c r="E76" s="620">
        <v>27</v>
      </c>
      <c r="F76" s="618"/>
      <c r="G76" s="23">
        <v>0.37</v>
      </c>
      <c r="H76" s="23">
        <v>6.2E-2</v>
      </c>
      <c r="I76" s="23">
        <v>9.4E-2</v>
      </c>
      <c r="J76" s="104"/>
      <c r="L76" s="697" t="s">
        <v>907</v>
      </c>
      <c r="M76" s="697" t="s">
        <v>1048</v>
      </c>
      <c r="N76" s="664"/>
      <c r="O76" s="663">
        <v>27</v>
      </c>
      <c r="P76" s="664"/>
      <c r="Q76" s="23">
        <v>0.37</v>
      </c>
      <c r="R76" s="23">
        <v>6.2E-2</v>
      </c>
      <c r="S76" s="23">
        <v>9.4E-2</v>
      </c>
    </row>
    <row r="77" spans="1:19" ht="15.75">
      <c r="B77" s="646" t="s">
        <v>908</v>
      </c>
      <c r="C77" s="618" t="s">
        <v>1049</v>
      </c>
      <c r="D77" s="618"/>
      <c r="E77" s="620">
        <v>90</v>
      </c>
      <c r="F77" s="618"/>
      <c r="G77" s="23">
        <v>1.4</v>
      </c>
      <c r="H77" s="23">
        <v>0.21000000000000002</v>
      </c>
      <c r="I77" s="23">
        <v>0.65999999999999992</v>
      </c>
      <c r="J77" s="104"/>
      <c r="L77" s="697" t="s">
        <v>908</v>
      </c>
      <c r="M77" s="697" t="s">
        <v>1049</v>
      </c>
      <c r="N77" s="664"/>
      <c r="O77" s="663">
        <v>90</v>
      </c>
      <c r="P77" s="664"/>
      <c r="Q77" s="23">
        <v>1.4</v>
      </c>
      <c r="R77" s="23">
        <v>0.21000000000000002</v>
      </c>
      <c r="S77" s="23">
        <v>0.65999999999999992</v>
      </c>
    </row>
    <row r="78" spans="1:19" ht="15.75">
      <c r="B78" s="652" t="s">
        <v>110</v>
      </c>
      <c r="C78" s="279" t="s">
        <v>1015</v>
      </c>
      <c r="D78" s="287"/>
      <c r="E78" s="287">
        <v>0</v>
      </c>
      <c r="F78" s="287"/>
      <c r="G78" s="287">
        <v>0</v>
      </c>
      <c r="H78" s="287">
        <v>0</v>
      </c>
      <c r="I78" s="287">
        <v>0</v>
      </c>
      <c r="J78" s="104"/>
      <c r="L78" s="652" t="s">
        <v>110</v>
      </c>
      <c r="M78" s="697" t="s">
        <v>1015</v>
      </c>
      <c r="N78" s="287"/>
      <c r="O78" s="287">
        <v>0</v>
      </c>
      <c r="P78" s="287"/>
      <c r="Q78" s="287">
        <v>0</v>
      </c>
      <c r="R78" s="287">
        <v>0</v>
      </c>
      <c r="S78" s="287">
        <v>0</v>
      </c>
    </row>
    <row r="79" spans="1:19" ht="15.75">
      <c r="B79" s="652" t="s">
        <v>110</v>
      </c>
      <c r="C79" s="279" t="s">
        <v>1015</v>
      </c>
      <c r="D79" s="287"/>
      <c r="E79" s="287">
        <v>0</v>
      </c>
      <c r="F79" s="287"/>
      <c r="G79" s="287">
        <v>0</v>
      </c>
      <c r="H79" s="287">
        <v>0</v>
      </c>
      <c r="I79" s="287">
        <v>0</v>
      </c>
      <c r="L79" s="652" t="s">
        <v>110</v>
      </c>
      <c r="M79" s="697" t="s">
        <v>1015</v>
      </c>
      <c r="N79" s="287"/>
      <c r="O79" s="287">
        <v>0</v>
      </c>
      <c r="P79" s="287"/>
      <c r="Q79" s="287">
        <v>0</v>
      </c>
      <c r="R79" s="287">
        <v>0</v>
      </c>
      <c r="S79" s="287">
        <v>0</v>
      </c>
    </row>
    <row r="80" spans="1:19" ht="15.75">
      <c r="B80" s="652" t="s">
        <v>110</v>
      </c>
      <c r="C80" s="279" t="s">
        <v>1015</v>
      </c>
      <c r="D80" s="288"/>
      <c r="E80" s="18">
        <v>0</v>
      </c>
      <c r="F80" s="18"/>
      <c r="G80" s="18">
        <v>0</v>
      </c>
      <c r="H80" s="18">
        <v>0</v>
      </c>
      <c r="I80" s="18">
        <v>0</v>
      </c>
      <c r="L80" s="652" t="s">
        <v>110</v>
      </c>
      <c r="M80" s="697" t="s">
        <v>1015</v>
      </c>
      <c r="N80" s="288"/>
      <c r="O80" s="18">
        <v>0</v>
      </c>
      <c r="P80" s="18"/>
      <c r="Q80" s="18">
        <v>0</v>
      </c>
      <c r="R80" s="18">
        <v>0</v>
      </c>
      <c r="S80" s="18">
        <v>0</v>
      </c>
    </row>
    <row r="81" spans="2:19" ht="15.75">
      <c r="B81" s="284"/>
      <c r="C81" s="102"/>
      <c r="D81" s="25"/>
      <c r="E81" s="25"/>
      <c r="F81" s="25"/>
      <c r="G81" s="25"/>
      <c r="H81" s="25"/>
      <c r="I81" s="104"/>
      <c r="L81" s="284"/>
      <c r="M81" s="102"/>
      <c r="N81" s="517"/>
      <c r="O81" s="517"/>
      <c r="P81" s="517"/>
      <c r="Q81" s="517"/>
      <c r="R81" s="517"/>
      <c r="S81" s="104"/>
    </row>
    <row r="82" spans="2:19" ht="15.75">
      <c r="B82" s="284"/>
      <c r="C82" s="102"/>
      <c r="D82" s="25"/>
      <c r="E82" s="25"/>
      <c r="F82" s="25"/>
      <c r="G82" s="25"/>
      <c r="H82" s="25"/>
      <c r="I82" s="104"/>
    </row>
    <row r="83" spans="2:19" ht="15.75">
      <c r="B83" s="284"/>
      <c r="C83" s="102"/>
      <c r="D83" s="25"/>
      <c r="E83" s="25"/>
      <c r="F83" s="25"/>
      <c r="G83" s="25"/>
      <c r="H83" s="25"/>
    </row>
    <row r="84" spans="2:19" ht="15.75">
      <c r="B84" s="65"/>
      <c r="C84" s="32"/>
      <c r="D84" s="32"/>
      <c r="E84" s="25"/>
      <c r="F84" s="25"/>
      <c r="G84" s="64"/>
      <c r="I84" s="101"/>
    </row>
    <row r="85" spans="2:19" ht="15.75">
      <c r="B85" s="65"/>
      <c r="C85" s="32"/>
      <c r="D85" s="32"/>
      <c r="E85" s="25"/>
      <c r="F85" s="25"/>
      <c r="G85" s="64"/>
      <c r="I85" s="101"/>
    </row>
    <row r="86" spans="2:19" ht="15.75">
      <c r="B86" s="65"/>
      <c r="C86" s="32"/>
      <c r="D86" s="32"/>
      <c r="E86" s="25"/>
      <c r="F86" s="25"/>
      <c r="G86" s="64"/>
      <c r="I86" s="101"/>
      <c r="J86" s="594"/>
    </row>
    <row r="87" spans="2:19" ht="15.75">
      <c r="B87" s="65"/>
      <c r="C87" s="32"/>
      <c r="D87" s="32"/>
      <c r="E87" s="25"/>
      <c r="F87" s="25"/>
      <c r="G87" s="64"/>
      <c r="I87" s="101"/>
    </row>
    <row r="88" spans="2:19" ht="15.75">
      <c r="B88" s="65"/>
      <c r="C88" s="32"/>
      <c r="D88" s="32"/>
      <c r="E88" s="25"/>
      <c r="F88" s="25"/>
      <c r="G88" s="64"/>
      <c r="I88" s="101"/>
    </row>
    <row r="89" spans="2:19" ht="15.75">
      <c r="B89" s="65"/>
      <c r="C89" s="32"/>
      <c r="D89" s="32"/>
      <c r="E89" s="25"/>
      <c r="F89" s="25"/>
      <c r="G89" s="64"/>
      <c r="I89" s="101"/>
    </row>
    <row r="90" spans="2:19" ht="15.75">
      <c r="B90" s="65"/>
      <c r="C90" s="32"/>
      <c r="D90" s="32"/>
      <c r="E90" s="25"/>
      <c r="F90" s="25"/>
      <c r="G90" s="64"/>
      <c r="I90" s="101"/>
    </row>
    <row r="91" spans="2:19" ht="15.75">
      <c r="B91" s="65"/>
      <c r="C91" s="32"/>
      <c r="D91" s="32"/>
      <c r="E91" s="25"/>
      <c r="F91" s="25"/>
      <c r="G91" s="64"/>
      <c r="I91" s="101"/>
    </row>
    <row r="92" spans="2:19" ht="15.75">
      <c r="B92" s="65"/>
      <c r="C92" s="32"/>
      <c r="D92" s="32"/>
      <c r="E92" s="25"/>
      <c r="F92" s="25"/>
      <c r="G92" s="64"/>
      <c r="I92" s="101"/>
    </row>
    <row r="93" spans="2:19" ht="15.75">
      <c r="B93" s="65"/>
      <c r="C93" s="32"/>
      <c r="D93" s="32"/>
      <c r="E93" s="25"/>
      <c r="F93" s="25"/>
      <c r="G93" s="64"/>
      <c r="I93" s="101"/>
    </row>
    <row r="94" spans="2:19" ht="15.75">
      <c r="B94" s="65"/>
      <c r="C94" s="32"/>
      <c r="D94" s="32"/>
      <c r="E94" s="25"/>
      <c r="F94" s="25"/>
      <c r="G94" s="64"/>
      <c r="I94" s="101"/>
    </row>
    <row r="95" spans="2:19" ht="15.75">
      <c r="B95" s="65"/>
      <c r="C95" s="32"/>
      <c r="D95" s="32"/>
      <c r="E95" s="25"/>
      <c r="F95" s="25"/>
      <c r="G95" s="64"/>
      <c r="I95" s="101"/>
    </row>
    <row r="96" spans="2:19" ht="15.75">
      <c r="B96" s="65"/>
      <c r="C96" s="32"/>
      <c r="D96" s="32"/>
      <c r="E96" s="25"/>
      <c r="F96" s="25"/>
      <c r="G96" s="64"/>
      <c r="I96" s="101"/>
    </row>
    <row r="97" spans="2:9" ht="15.75">
      <c r="B97" s="65"/>
      <c r="C97" s="32"/>
      <c r="D97" s="32"/>
      <c r="E97" s="25"/>
      <c r="F97" s="25"/>
      <c r="G97" s="64"/>
      <c r="I97" s="101"/>
    </row>
    <row r="98" spans="2:9" ht="15.75">
      <c r="B98" s="65"/>
      <c r="C98" s="32"/>
      <c r="D98" s="32"/>
      <c r="E98" s="25"/>
      <c r="F98" s="25"/>
      <c r="G98" s="64"/>
      <c r="I98" s="101"/>
    </row>
    <row r="99" spans="2:9" ht="15.75">
      <c r="B99" s="65"/>
      <c r="C99" s="32"/>
      <c r="D99" s="32"/>
      <c r="E99" s="25"/>
      <c r="F99" s="25"/>
      <c r="G99" s="64"/>
      <c r="I99" s="101"/>
    </row>
    <row r="100" spans="2:9" ht="15.75">
      <c r="B100" s="65"/>
      <c r="C100" s="32"/>
      <c r="D100" s="32"/>
      <c r="E100" s="25"/>
      <c r="F100" s="25"/>
      <c r="G100" s="64"/>
      <c r="I100" s="101"/>
    </row>
    <row r="101" spans="2:9" ht="15.75">
      <c r="B101" s="65"/>
      <c r="C101" s="32"/>
      <c r="D101" s="32"/>
      <c r="E101" s="25"/>
      <c r="F101" s="25"/>
      <c r="G101" s="64"/>
      <c r="I101" s="101"/>
    </row>
    <row r="102" spans="2:9" ht="15.75">
      <c r="B102" s="65"/>
      <c r="C102" s="32"/>
      <c r="D102" s="32"/>
      <c r="E102" s="25"/>
      <c r="F102" s="25"/>
      <c r="G102" s="64"/>
      <c r="I102" s="101"/>
    </row>
    <row r="103" spans="2:9" ht="15.75">
      <c r="B103" s="65"/>
      <c r="C103" s="32"/>
      <c r="D103" s="32"/>
      <c r="E103" s="25"/>
      <c r="F103" s="25"/>
      <c r="G103" s="64"/>
      <c r="I103" s="101"/>
    </row>
    <row r="104" spans="2:9" ht="15.75">
      <c r="B104" s="65"/>
      <c r="C104" s="32"/>
      <c r="D104" s="32"/>
      <c r="E104" s="25"/>
      <c r="F104" s="25"/>
      <c r="G104" s="64"/>
      <c r="I104" s="101"/>
    </row>
    <row r="105" spans="2:9" ht="15.75">
      <c r="I105" s="101"/>
    </row>
    <row r="106" spans="2:9" ht="15.75">
      <c r="I106" s="101"/>
    </row>
    <row r="107" spans="2:9" ht="15.75">
      <c r="I107" s="101"/>
    </row>
    <row r="108" spans="2:9" ht="15.75">
      <c r="I108" s="101"/>
    </row>
    <row r="109" spans="2:9" ht="15.75">
      <c r="I109" s="101"/>
    </row>
  </sheetData>
  <mergeCells count="2">
    <mergeCell ref="G2:I2"/>
    <mergeCell ref="Q2:S2"/>
  </mergeCells>
  <pageMargins left="0.25" right="0.25" top="0.75" bottom="0.75" header="0.3" footer="0.3"/>
  <pageSetup paperSize="8" scale="3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0"/>
  </sheetPr>
  <dimension ref="A1:AU147"/>
  <sheetViews>
    <sheetView topLeftCell="A79" zoomScale="70" zoomScaleNormal="70" workbookViewId="0">
      <selection activeCell="E94" sqref="E94"/>
    </sheetView>
  </sheetViews>
  <sheetFormatPr baseColWidth="10" defaultRowHeight="15"/>
  <cols>
    <col min="1" max="1" width="5.85546875" style="991" customWidth="1"/>
    <col min="2" max="2" width="53.42578125" style="679" customWidth="1"/>
    <col min="3" max="3" width="11" style="679" customWidth="1"/>
    <col min="4" max="4" width="15.140625" style="679" customWidth="1"/>
    <col min="5" max="5" width="7.28515625" style="679" customWidth="1"/>
    <col min="6" max="6" width="8.7109375" style="679" customWidth="1"/>
    <col min="7" max="7" width="9.140625" style="679" customWidth="1"/>
    <col min="8" max="9" width="11.42578125" style="679"/>
    <col min="10" max="10" width="12.28515625" style="679" customWidth="1"/>
    <col min="11" max="11" width="18.42578125" style="679" customWidth="1"/>
    <col min="12" max="12" width="10.85546875" style="679" customWidth="1"/>
    <col min="13" max="13" width="15.28515625" style="679" customWidth="1"/>
    <col min="14" max="15" width="11.85546875" style="1009" customWidth="1"/>
    <col min="16" max="17" width="9.140625" style="679" customWidth="1"/>
    <col min="18" max="19" width="25.7109375" style="679" customWidth="1"/>
    <col min="20" max="26" width="25.7109375" customWidth="1"/>
    <col min="27" max="27" width="20.7109375" customWidth="1"/>
    <col min="28" max="28" width="44.42578125" style="131" customWidth="1"/>
    <col min="29" max="29" width="24.140625" style="131" bestFit="1" customWidth="1"/>
    <col min="30" max="34" width="24.85546875" style="131" bestFit="1" customWidth="1"/>
    <col min="35" max="35" width="31" style="131" bestFit="1" customWidth="1"/>
    <col min="36" max="36" width="30.5703125" style="131" bestFit="1" customWidth="1"/>
    <col min="37" max="37" width="18.140625" style="131" bestFit="1" customWidth="1"/>
    <col min="38" max="38" width="17.140625" style="131" bestFit="1" customWidth="1"/>
    <col min="39" max="39" width="17.5703125" style="131" customWidth="1"/>
    <col min="40" max="44" width="17.5703125" customWidth="1"/>
  </cols>
  <sheetData>
    <row r="1" spans="1:39">
      <c r="B1" s="1008"/>
      <c r="C1" s="1008"/>
      <c r="D1" s="1008"/>
      <c r="E1" s="1008"/>
      <c r="F1" s="1008"/>
      <c r="G1" s="1008"/>
      <c r="H1" s="1008"/>
      <c r="I1" s="1008"/>
      <c r="J1" s="1008"/>
      <c r="K1" s="1008"/>
      <c r="L1" s="1008"/>
    </row>
    <row r="2" spans="1:39" s="702" customFormat="1" ht="15.75">
      <c r="A2" s="991"/>
      <c r="B2" s="992">
        <v>1</v>
      </c>
      <c r="C2" s="992">
        <v>2</v>
      </c>
      <c r="D2" s="1010">
        <v>3</v>
      </c>
      <c r="E2" s="1011">
        <v>4</v>
      </c>
      <c r="F2" s="1011">
        <v>5</v>
      </c>
      <c r="G2" s="1011">
        <v>6</v>
      </c>
      <c r="H2" s="1011">
        <v>7</v>
      </c>
      <c r="I2" s="1011">
        <v>8</v>
      </c>
      <c r="J2" s="1011">
        <v>9</v>
      </c>
      <c r="K2" s="1011">
        <v>10</v>
      </c>
      <c r="L2" s="1011">
        <v>11</v>
      </c>
      <c r="M2" s="1011">
        <v>12</v>
      </c>
      <c r="N2" s="1012">
        <v>13</v>
      </c>
      <c r="O2" s="1012">
        <v>14</v>
      </c>
      <c r="P2" s="1010">
        <v>15</v>
      </c>
      <c r="Q2" s="1010">
        <v>16</v>
      </c>
      <c r="R2" s="1010">
        <v>17</v>
      </c>
      <c r="S2" s="1010">
        <v>18</v>
      </c>
      <c r="T2" s="709">
        <v>19</v>
      </c>
      <c r="U2" s="709">
        <v>20</v>
      </c>
      <c r="V2" s="702">
        <v>21</v>
      </c>
      <c r="W2" s="702">
        <v>22</v>
      </c>
      <c r="X2" s="702">
        <v>23</v>
      </c>
      <c r="Y2" s="702">
        <v>24</v>
      </c>
      <c r="Z2" s="702">
        <v>25</v>
      </c>
      <c r="AB2" s="1074"/>
      <c r="AC2" s="1074"/>
      <c r="AD2" s="1074"/>
      <c r="AE2" s="1074"/>
      <c r="AF2" s="1074"/>
      <c r="AG2" s="1074"/>
      <c r="AH2" s="1074"/>
      <c r="AI2" s="1074"/>
      <c r="AJ2" s="1074"/>
      <c r="AK2" s="1074"/>
      <c r="AL2" s="1074"/>
      <c r="AM2" s="1074"/>
    </row>
    <row r="3" spans="1:39">
      <c r="E3" s="1007"/>
      <c r="F3" s="1007"/>
      <c r="G3" s="1007"/>
    </row>
    <row r="4" spans="1:39" ht="15" customHeight="1">
      <c r="B4" s="951" t="s">
        <v>709</v>
      </c>
      <c r="E4" s="1007"/>
      <c r="F4" s="1007"/>
      <c r="G4" s="1007"/>
      <c r="R4" s="1389" t="s">
        <v>250</v>
      </c>
      <c r="S4" s="1390"/>
      <c r="T4" s="1390"/>
      <c r="U4" s="1390"/>
      <c r="V4" s="1390"/>
      <c r="W4" s="1310" t="s">
        <v>196</v>
      </c>
      <c r="X4" s="1310"/>
      <c r="Y4" s="1310"/>
      <c r="Z4" s="1310"/>
    </row>
    <row r="5" spans="1:39" ht="64.5" customHeight="1">
      <c r="B5" s="1505" t="s">
        <v>0</v>
      </c>
      <c r="C5" s="1013"/>
      <c r="D5" s="1581" t="s">
        <v>21</v>
      </c>
      <c r="E5" s="1513" t="s">
        <v>309</v>
      </c>
      <c r="F5" s="1513"/>
      <c r="G5" s="1513"/>
      <c r="H5" s="1580" t="s">
        <v>308</v>
      </c>
      <c r="I5" s="1513"/>
      <c r="J5" s="1513"/>
      <c r="K5" s="1577" t="s">
        <v>41</v>
      </c>
      <c r="L5" s="1577"/>
      <c r="M5" s="1577"/>
      <c r="N5" s="1577"/>
      <c r="O5" s="1577"/>
      <c r="P5" s="1577"/>
      <c r="Q5" s="1577"/>
      <c r="R5" s="1577" t="s">
        <v>251</v>
      </c>
      <c r="S5" s="1577"/>
      <c r="T5" s="1310" t="s">
        <v>264</v>
      </c>
      <c r="U5" s="1310"/>
      <c r="V5" s="1357"/>
      <c r="W5" s="1310" t="s">
        <v>1092</v>
      </c>
      <c r="X5" s="1310"/>
      <c r="Y5" s="1310" t="s">
        <v>331</v>
      </c>
      <c r="Z5" s="1310"/>
      <c r="AA5" s="245"/>
      <c r="AF5" s="685"/>
      <c r="AG5" s="685"/>
      <c r="AH5" s="685"/>
      <c r="AI5" s="685"/>
    </row>
    <row r="6" spans="1:39" ht="31.5" customHeight="1">
      <c r="B6" s="1576"/>
      <c r="C6" s="1000" t="s">
        <v>256</v>
      </c>
      <c r="D6" s="1582"/>
      <c r="E6" s="993" t="s">
        <v>1</v>
      </c>
      <c r="F6" s="993" t="s">
        <v>1223</v>
      </c>
      <c r="G6" s="1014" t="s">
        <v>1224</v>
      </c>
      <c r="H6" s="996" t="s">
        <v>1</v>
      </c>
      <c r="I6" s="993" t="s">
        <v>1223</v>
      </c>
      <c r="J6" s="1014" t="s">
        <v>1224</v>
      </c>
      <c r="K6" s="1015" t="s">
        <v>40</v>
      </c>
      <c r="L6" s="1015" t="s">
        <v>42</v>
      </c>
      <c r="M6" s="1016" t="s">
        <v>45</v>
      </c>
      <c r="N6" s="1017" t="s">
        <v>43</v>
      </c>
      <c r="O6" s="1017" t="s">
        <v>44</v>
      </c>
      <c r="P6" s="1015" t="s">
        <v>39</v>
      </c>
      <c r="Q6" s="993" t="s">
        <v>46</v>
      </c>
      <c r="R6" s="1018" t="s">
        <v>252</v>
      </c>
      <c r="S6" s="1018" t="s">
        <v>253</v>
      </c>
      <c r="T6" s="248" t="s">
        <v>252</v>
      </c>
      <c r="U6" s="248" t="s">
        <v>265</v>
      </c>
      <c r="V6" s="308" t="s">
        <v>266</v>
      </c>
      <c r="W6" s="34" t="s">
        <v>252</v>
      </c>
      <c r="X6" s="34" t="s">
        <v>265</v>
      </c>
      <c r="Y6" s="34" t="s">
        <v>252</v>
      </c>
      <c r="Z6" s="34" t="s">
        <v>265</v>
      </c>
      <c r="AA6" s="100"/>
      <c r="AC6" s="1590" t="s">
        <v>64</v>
      </c>
      <c r="AD6" s="1591"/>
      <c r="AE6" s="1590" t="s">
        <v>62</v>
      </c>
      <c r="AF6" s="1596"/>
      <c r="AG6" s="1591"/>
      <c r="AH6" s="1599" t="s">
        <v>63</v>
      </c>
      <c r="AI6" s="1600"/>
      <c r="AJ6" s="1601"/>
    </row>
    <row r="7" spans="1:39" ht="15.75" customHeight="1">
      <c r="B7" s="1019" t="s">
        <v>163</v>
      </c>
      <c r="C7" s="1000">
        <v>0</v>
      </c>
      <c r="D7" s="1020">
        <v>0</v>
      </c>
      <c r="E7" s="256">
        <v>0</v>
      </c>
      <c r="F7" s="256">
        <v>0</v>
      </c>
      <c r="G7" s="995">
        <v>0</v>
      </c>
      <c r="H7" s="1021">
        <v>0</v>
      </c>
      <c r="I7" s="256">
        <v>0</v>
      </c>
      <c r="J7" s="995">
        <v>0</v>
      </c>
      <c r="K7" s="1022">
        <v>0</v>
      </c>
      <c r="L7" s="1022">
        <v>0</v>
      </c>
      <c r="M7" s="49">
        <v>0</v>
      </c>
      <c r="N7" s="1023">
        <v>0</v>
      </c>
      <c r="O7" s="1023">
        <v>0</v>
      </c>
      <c r="P7" s="1022">
        <v>0</v>
      </c>
      <c r="Q7" s="256">
        <v>0</v>
      </c>
      <c r="R7" s="1003">
        <v>0</v>
      </c>
      <c r="S7" s="1003">
        <v>0</v>
      </c>
      <c r="T7" s="23">
        <v>0</v>
      </c>
      <c r="U7" s="23">
        <v>0</v>
      </c>
      <c r="V7" s="309">
        <v>0</v>
      </c>
      <c r="W7" s="23">
        <v>0</v>
      </c>
      <c r="X7" s="23">
        <v>0</v>
      </c>
      <c r="Y7" s="23">
        <v>0</v>
      </c>
      <c r="Z7" s="23">
        <v>0</v>
      </c>
      <c r="AA7" s="2"/>
      <c r="AC7" s="1592"/>
      <c r="AD7" s="1593"/>
      <c r="AE7" s="1592"/>
      <c r="AF7" s="1597"/>
      <c r="AG7" s="1593"/>
      <c r="AH7" s="1602"/>
      <c r="AI7" s="1603"/>
      <c r="AJ7" s="1604"/>
    </row>
    <row r="8" spans="1:39" ht="15.75">
      <c r="B8" s="938" t="s">
        <v>654</v>
      </c>
      <c r="C8" s="1000">
        <v>2</v>
      </c>
      <c r="D8" s="1000" t="s">
        <v>22</v>
      </c>
      <c r="E8" s="256">
        <v>57</v>
      </c>
      <c r="F8" s="256">
        <v>16.399999999999999</v>
      </c>
      <c r="G8" s="677">
        <f>159/27*12</f>
        <v>70.666666666666671</v>
      </c>
      <c r="H8" s="994">
        <v>58</v>
      </c>
      <c r="I8" s="995">
        <v>17</v>
      </c>
      <c r="J8" s="995">
        <v>69</v>
      </c>
      <c r="K8" s="1024">
        <v>3</v>
      </c>
      <c r="L8" s="1024">
        <v>4</v>
      </c>
      <c r="M8" s="1025">
        <f t="shared" ref="M8:M12" si="0">$L8/182.5</f>
        <v>2.1917808219178082E-2</v>
      </c>
      <c r="N8" s="1026">
        <v>4.6500000000000004</v>
      </c>
      <c r="O8" s="1002">
        <f t="shared" ref="O8:O44" si="1">N8/182.5</f>
        <v>2.5479452054794523E-2</v>
      </c>
      <c r="P8" s="995">
        <v>1.2</v>
      </c>
      <c r="Q8" s="995">
        <f t="shared" ref="Q8:Q12" si="2">P8/182.5</f>
        <v>6.5753424657534242E-3</v>
      </c>
      <c r="R8" s="1003">
        <v>0.85</v>
      </c>
      <c r="S8" s="1003">
        <v>0.7</v>
      </c>
      <c r="T8" s="23">
        <v>0.75</v>
      </c>
      <c r="U8" s="23">
        <v>0.6</v>
      </c>
      <c r="V8" s="309">
        <v>0.25</v>
      </c>
      <c r="W8" s="23">
        <v>15</v>
      </c>
      <c r="X8" s="23">
        <v>30</v>
      </c>
      <c r="Y8" s="23">
        <v>10</v>
      </c>
      <c r="Z8" s="23">
        <v>10</v>
      </c>
      <c r="AA8" s="2"/>
      <c r="AB8" s="1075"/>
      <c r="AC8" s="1594"/>
      <c r="AD8" s="1595"/>
      <c r="AE8" s="1594"/>
      <c r="AF8" s="1598"/>
      <c r="AG8" s="1595"/>
      <c r="AH8" s="1605"/>
      <c r="AI8" s="1606"/>
      <c r="AJ8" s="1607"/>
    </row>
    <row r="9" spans="1:39" ht="15.75">
      <c r="B9" s="938" t="s">
        <v>655</v>
      </c>
      <c r="C9" s="1000">
        <v>3</v>
      </c>
      <c r="D9" s="1000" t="s">
        <v>22</v>
      </c>
      <c r="E9" s="256">
        <v>54</v>
      </c>
      <c r="F9" s="256">
        <v>16</v>
      </c>
      <c r="G9" s="995">
        <f>135/27*12</f>
        <v>60</v>
      </c>
      <c r="H9" s="994">
        <v>53</v>
      </c>
      <c r="I9" s="995">
        <v>16</v>
      </c>
      <c r="J9" s="995">
        <v>57</v>
      </c>
      <c r="K9" s="1024">
        <v>3</v>
      </c>
      <c r="L9" s="1024">
        <v>4</v>
      </c>
      <c r="M9" s="1025">
        <f t="shared" si="0"/>
        <v>2.1917808219178082E-2</v>
      </c>
      <c r="N9" s="1026">
        <v>4.6500000000000004</v>
      </c>
      <c r="O9" s="1002">
        <f t="shared" si="1"/>
        <v>2.5479452054794523E-2</v>
      </c>
      <c r="P9" s="995">
        <v>1.2</v>
      </c>
      <c r="Q9" s="995">
        <f t="shared" si="2"/>
        <v>6.5753424657534242E-3</v>
      </c>
      <c r="R9" s="1003">
        <v>0.85</v>
      </c>
      <c r="S9" s="1003">
        <v>0.7</v>
      </c>
      <c r="T9" s="23">
        <v>0.75</v>
      </c>
      <c r="U9" s="23">
        <v>0.6</v>
      </c>
      <c r="V9" s="309">
        <v>0.25</v>
      </c>
      <c r="W9" s="23">
        <v>15</v>
      </c>
      <c r="X9" s="23">
        <v>30</v>
      </c>
      <c r="Y9" s="23">
        <v>10</v>
      </c>
      <c r="Z9" s="23">
        <v>10</v>
      </c>
      <c r="AA9" s="2"/>
      <c r="AB9" s="49" t="s">
        <v>2</v>
      </c>
      <c r="AC9" s="1076" t="s">
        <v>58</v>
      </c>
      <c r="AD9" s="1076" t="s">
        <v>59</v>
      </c>
      <c r="AE9" s="1076" t="s">
        <v>58</v>
      </c>
      <c r="AF9" s="1076" t="s">
        <v>60</v>
      </c>
      <c r="AG9" s="1076" t="s">
        <v>61</v>
      </c>
      <c r="AH9" s="1077" t="s">
        <v>58</v>
      </c>
      <c r="AI9" s="1578" t="s">
        <v>60</v>
      </c>
      <c r="AJ9" s="1578"/>
    </row>
    <row r="10" spans="1:39" ht="15.75">
      <c r="B10" s="938" t="s">
        <v>656</v>
      </c>
      <c r="C10" s="1000">
        <v>4</v>
      </c>
      <c r="D10" s="1000" t="s">
        <v>22</v>
      </c>
      <c r="E10" s="256">
        <v>48</v>
      </c>
      <c r="F10" s="256">
        <v>15.5</v>
      </c>
      <c r="G10" s="677">
        <f>133/27*12</f>
        <v>59.111111111111107</v>
      </c>
      <c r="H10" s="994">
        <v>48</v>
      </c>
      <c r="I10" s="995">
        <v>15</v>
      </c>
      <c r="J10" s="995">
        <v>56</v>
      </c>
      <c r="K10" s="1024">
        <v>3</v>
      </c>
      <c r="L10" s="1024">
        <v>4</v>
      </c>
      <c r="M10" s="1025">
        <f t="shared" si="0"/>
        <v>2.1917808219178082E-2</v>
      </c>
      <c r="N10" s="1026">
        <v>4.6500000000000004</v>
      </c>
      <c r="O10" s="1002">
        <f t="shared" si="1"/>
        <v>2.5479452054794523E-2</v>
      </c>
      <c r="P10" s="995">
        <v>1.2</v>
      </c>
      <c r="Q10" s="995">
        <f t="shared" si="2"/>
        <v>6.5753424657534242E-3</v>
      </c>
      <c r="R10" s="1003">
        <v>0.85</v>
      </c>
      <c r="S10" s="1003">
        <v>0.7</v>
      </c>
      <c r="T10" s="23">
        <v>0.75</v>
      </c>
      <c r="U10" s="23">
        <v>0.6</v>
      </c>
      <c r="V10" s="309">
        <v>0.25</v>
      </c>
      <c r="W10" s="23">
        <v>15</v>
      </c>
      <c r="X10" s="23">
        <v>30</v>
      </c>
      <c r="Y10" s="23">
        <v>10</v>
      </c>
      <c r="Z10" s="23">
        <v>10</v>
      </c>
      <c r="AA10" s="2"/>
      <c r="AB10" s="1016" t="s">
        <v>3</v>
      </c>
      <c r="AC10" s="49">
        <v>0.85</v>
      </c>
      <c r="AD10" s="49">
        <v>0.7</v>
      </c>
      <c r="AE10" s="49">
        <v>0.75</v>
      </c>
      <c r="AF10" s="49">
        <v>0.6</v>
      </c>
      <c r="AG10" s="49">
        <v>0.25</v>
      </c>
      <c r="AH10" s="1071">
        <v>11.8</v>
      </c>
      <c r="AI10" s="1579">
        <v>14.3</v>
      </c>
      <c r="AJ10" s="1579"/>
    </row>
    <row r="11" spans="1:39" ht="15.75">
      <c r="B11" s="938" t="s">
        <v>657</v>
      </c>
      <c r="C11" s="1000">
        <v>5</v>
      </c>
      <c r="D11" s="1000" t="s">
        <v>22</v>
      </c>
      <c r="E11" s="256">
        <v>45</v>
      </c>
      <c r="F11" s="256">
        <v>15</v>
      </c>
      <c r="G11" s="677">
        <f>124/27*12</f>
        <v>55.111111111111114</v>
      </c>
      <c r="H11" s="994">
        <v>43</v>
      </c>
      <c r="I11" s="995">
        <v>14</v>
      </c>
      <c r="J11" s="995">
        <v>52</v>
      </c>
      <c r="K11" s="1024">
        <v>3</v>
      </c>
      <c r="L11" s="1024">
        <v>4</v>
      </c>
      <c r="M11" s="1025">
        <f t="shared" si="0"/>
        <v>2.1917808219178082E-2</v>
      </c>
      <c r="N11" s="1026">
        <v>4.6500000000000004</v>
      </c>
      <c r="O11" s="1002">
        <f t="shared" si="1"/>
        <v>2.5479452054794523E-2</v>
      </c>
      <c r="P11" s="995">
        <v>1.2</v>
      </c>
      <c r="Q11" s="995">
        <f t="shared" si="2"/>
        <v>6.5753424657534242E-3</v>
      </c>
      <c r="R11" s="1003">
        <v>0.85</v>
      </c>
      <c r="S11" s="1003">
        <v>0.7</v>
      </c>
      <c r="T11" s="23">
        <v>0.75</v>
      </c>
      <c r="U11" s="23">
        <v>0.6</v>
      </c>
      <c r="V11" s="309">
        <v>0.25</v>
      </c>
      <c r="W11" s="23">
        <v>15</v>
      </c>
      <c r="X11" s="23">
        <v>30</v>
      </c>
      <c r="Y11" s="23">
        <v>10</v>
      </c>
      <c r="Z11" s="23">
        <v>10</v>
      </c>
      <c r="AA11" s="2"/>
      <c r="AB11" s="1016" t="s">
        <v>4</v>
      </c>
      <c r="AC11" s="49">
        <v>0.8</v>
      </c>
      <c r="AD11" s="49">
        <v>0.7</v>
      </c>
      <c r="AE11" s="49">
        <v>0.75</v>
      </c>
      <c r="AF11" s="49">
        <v>0.6</v>
      </c>
      <c r="AG11" s="49">
        <v>0.25</v>
      </c>
      <c r="AH11" s="1071">
        <v>6.25</v>
      </c>
      <c r="AI11" s="1579">
        <v>14.3</v>
      </c>
      <c r="AJ11" s="1579"/>
    </row>
    <row r="12" spans="1:39" ht="15.75">
      <c r="B12" s="938" t="s">
        <v>694</v>
      </c>
      <c r="C12" s="1000">
        <v>6</v>
      </c>
      <c r="D12" s="1000" t="s">
        <v>22</v>
      </c>
      <c r="E12" s="256">
        <v>114</v>
      </c>
      <c r="F12" s="256">
        <v>36</v>
      </c>
      <c r="G12" s="995">
        <v>134</v>
      </c>
      <c r="H12" s="994">
        <v>108</v>
      </c>
      <c r="I12" s="995">
        <v>33</v>
      </c>
      <c r="J12" s="995">
        <v>127</v>
      </c>
      <c r="K12" s="1001">
        <v>4</v>
      </c>
      <c r="L12" s="724">
        <v>7.2</v>
      </c>
      <c r="M12" s="1002">
        <f t="shared" si="0"/>
        <v>3.9452054794520547E-2</v>
      </c>
      <c r="N12" s="1027">
        <v>9.5</v>
      </c>
      <c r="O12" s="1002">
        <f t="shared" ref="O12:O18" si="3">N12/182.5</f>
        <v>5.2054794520547946E-2</v>
      </c>
      <c r="P12" s="677">
        <v>3</v>
      </c>
      <c r="Q12" s="995">
        <f t="shared" si="2"/>
        <v>1.643835616438356E-2</v>
      </c>
      <c r="R12" s="1003">
        <v>0.85</v>
      </c>
      <c r="S12" s="1003">
        <v>0.7</v>
      </c>
      <c r="T12" s="23">
        <v>0.75</v>
      </c>
      <c r="U12" s="23">
        <v>0.6</v>
      </c>
      <c r="V12" s="309">
        <v>0.25</v>
      </c>
      <c r="W12" s="23">
        <v>15</v>
      </c>
      <c r="X12" s="23">
        <v>30</v>
      </c>
      <c r="Y12" s="23">
        <v>10</v>
      </c>
      <c r="Z12" s="23">
        <v>10</v>
      </c>
      <c r="AA12" s="2"/>
      <c r="AB12" s="1016" t="s">
        <v>5</v>
      </c>
      <c r="AC12" s="99"/>
      <c r="AD12" s="49">
        <v>0.6</v>
      </c>
      <c r="AE12" s="99"/>
      <c r="AF12" s="49">
        <v>0.5</v>
      </c>
      <c r="AG12" s="49">
        <v>0.25</v>
      </c>
      <c r="AH12" s="1072"/>
      <c r="AI12" s="1579">
        <v>16.7</v>
      </c>
      <c r="AJ12" s="1579"/>
    </row>
    <row r="13" spans="1:39" ht="15.75">
      <c r="B13" s="938" t="s">
        <v>693</v>
      </c>
      <c r="C13" s="1000">
        <v>7</v>
      </c>
      <c r="D13" s="1000" t="s">
        <v>22</v>
      </c>
      <c r="E13" s="256">
        <v>109</v>
      </c>
      <c r="F13" s="256">
        <v>37</v>
      </c>
      <c r="G13" s="995">
        <v>129</v>
      </c>
      <c r="H13" s="994">
        <v>98</v>
      </c>
      <c r="I13" s="995">
        <v>31</v>
      </c>
      <c r="J13" s="995">
        <v>121</v>
      </c>
      <c r="K13" s="1001">
        <v>4</v>
      </c>
      <c r="L13" s="724">
        <v>7.2</v>
      </c>
      <c r="M13" s="1002">
        <f t="shared" ref="M13:M21" si="4">$L13/182.5</f>
        <v>3.9452054794520547E-2</v>
      </c>
      <c r="N13" s="1027">
        <v>9.5</v>
      </c>
      <c r="O13" s="1002">
        <f t="shared" si="3"/>
        <v>5.2054794520547946E-2</v>
      </c>
      <c r="P13" s="677">
        <v>3</v>
      </c>
      <c r="Q13" s="995">
        <f t="shared" ref="Q13:Q55" si="5">P13/182.5</f>
        <v>1.643835616438356E-2</v>
      </c>
      <c r="R13" s="1003">
        <v>0.85</v>
      </c>
      <c r="S13" s="1003">
        <v>0.7</v>
      </c>
      <c r="T13" s="23">
        <v>0.75</v>
      </c>
      <c r="U13" s="23">
        <v>0.6</v>
      </c>
      <c r="V13" s="309">
        <v>0.25</v>
      </c>
      <c r="W13" s="23">
        <v>15</v>
      </c>
      <c r="X13" s="23">
        <v>30</v>
      </c>
      <c r="Y13" s="23">
        <v>10</v>
      </c>
      <c r="Z13" s="23">
        <v>10</v>
      </c>
      <c r="AA13" s="2"/>
      <c r="AB13" s="1016" t="s">
        <v>47</v>
      </c>
      <c r="AC13" s="49"/>
      <c r="AD13" s="49">
        <v>0.55000000000000004</v>
      </c>
      <c r="AE13" s="49"/>
      <c r="AF13" s="49">
        <v>0.5</v>
      </c>
      <c r="AG13" s="49">
        <v>0.25</v>
      </c>
      <c r="AH13" s="1072"/>
      <c r="AI13" s="1579">
        <v>9.1</v>
      </c>
      <c r="AJ13" s="1579"/>
    </row>
    <row r="14" spans="1:39" s="997" customFormat="1" ht="15.75">
      <c r="B14" s="938" t="s">
        <v>1226</v>
      </c>
      <c r="C14" s="1000">
        <v>101</v>
      </c>
      <c r="D14" s="1000" t="s">
        <v>22</v>
      </c>
      <c r="E14" s="256">
        <v>96.1</v>
      </c>
      <c r="F14" s="256">
        <v>32</v>
      </c>
      <c r="G14" s="999">
        <v>113</v>
      </c>
      <c r="H14" s="998">
        <v>86</v>
      </c>
      <c r="I14" s="998">
        <v>27.4</v>
      </c>
      <c r="J14" s="998">
        <v>106</v>
      </c>
      <c r="K14" s="1001">
        <v>4</v>
      </c>
      <c r="L14" s="724">
        <v>7.2</v>
      </c>
      <c r="M14" s="1002">
        <f t="shared" si="4"/>
        <v>3.9452054794520547E-2</v>
      </c>
      <c r="N14" s="1027">
        <v>10.5</v>
      </c>
      <c r="O14" s="1002">
        <f t="shared" ref="O14" si="6">N14/182.5</f>
        <v>5.7534246575342465E-2</v>
      </c>
      <c r="P14" s="677">
        <v>4</v>
      </c>
      <c r="Q14" s="999">
        <f t="shared" ref="Q14" si="7">P14/182.5</f>
        <v>2.1917808219178082E-2</v>
      </c>
      <c r="R14" s="1003">
        <v>0.85</v>
      </c>
      <c r="S14" s="1003">
        <v>0.7</v>
      </c>
      <c r="T14" s="23">
        <v>0.75</v>
      </c>
      <c r="U14" s="23">
        <v>0.6</v>
      </c>
      <c r="V14" s="309">
        <v>0.25</v>
      </c>
      <c r="W14" s="23">
        <v>15</v>
      </c>
      <c r="X14" s="23">
        <v>30</v>
      </c>
      <c r="Y14" s="23">
        <v>10</v>
      </c>
      <c r="Z14" s="23">
        <v>10</v>
      </c>
      <c r="AA14" s="2"/>
      <c r="AB14" s="1078" t="s">
        <v>15</v>
      </c>
      <c r="AC14" s="1076">
        <v>0.95</v>
      </c>
      <c r="AD14" s="1076"/>
      <c r="AE14" s="1076">
        <v>0.85</v>
      </c>
      <c r="AF14" s="1076"/>
      <c r="AG14" s="1076"/>
      <c r="AH14" s="1077">
        <v>10.5</v>
      </c>
      <c r="AI14" s="1077"/>
      <c r="AJ14" s="1077"/>
      <c r="AK14" s="131"/>
      <c r="AL14" s="131"/>
      <c r="AM14" s="131"/>
    </row>
    <row r="15" spans="1:39" ht="15.75">
      <c r="B15" s="938" t="s">
        <v>478</v>
      </c>
      <c r="C15" s="1000">
        <v>8</v>
      </c>
      <c r="D15" s="1000" t="s">
        <v>22</v>
      </c>
      <c r="E15" s="256">
        <v>103</v>
      </c>
      <c r="F15" s="256">
        <v>37</v>
      </c>
      <c r="G15" s="995">
        <v>109</v>
      </c>
      <c r="H15" s="994">
        <v>86</v>
      </c>
      <c r="I15" s="995">
        <v>28</v>
      </c>
      <c r="J15" s="995">
        <v>99</v>
      </c>
      <c r="K15" s="1001">
        <v>4</v>
      </c>
      <c r="L15" s="761">
        <v>7.2</v>
      </c>
      <c r="M15" s="1002">
        <f t="shared" si="4"/>
        <v>3.9452054794520547E-2</v>
      </c>
      <c r="N15" s="1027">
        <v>9.5</v>
      </c>
      <c r="O15" s="1002">
        <f t="shared" si="3"/>
        <v>5.2054794520547946E-2</v>
      </c>
      <c r="P15" s="677">
        <v>3</v>
      </c>
      <c r="Q15" s="995">
        <f t="shared" si="5"/>
        <v>1.643835616438356E-2</v>
      </c>
      <c r="R15" s="1003">
        <v>0.85</v>
      </c>
      <c r="S15" s="1003">
        <v>0.7</v>
      </c>
      <c r="T15" s="23">
        <v>0.75</v>
      </c>
      <c r="U15" s="23">
        <v>0.6</v>
      </c>
      <c r="V15" s="309">
        <v>0.25</v>
      </c>
      <c r="W15" s="23">
        <v>15</v>
      </c>
      <c r="X15" s="23">
        <v>30</v>
      </c>
      <c r="Y15" s="23">
        <v>10</v>
      </c>
      <c r="Z15" s="23">
        <v>10</v>
      </c>
      <c r="AA15" s="2"/>
      <c r="AB15" s="1016" t="s">
        <v>57</v>
      </c>
      <c r="AC15" s="1079"/>
      <c r="AD15" s="1079"/>
      <c r="AE15" s="1079"/>
      <c r="AF15" s="1079"/>
      <c r="AG15" s="1079"/>
      <c r="AH15" s="1027">
        <v>10</v>
      </c>
      <c r="AI15" s="1027"/>
      <c r="AJ15" s="1027"/>
    </row>
    <row r="16" spans="1:39" s="679" customFormat="1" ht="15.75">
      <c r="B16" s="938" t="s">
        <v>1221</v>
      </c>
      <c r="C16" s="1000">
        <v>9</v>
      </c>
      <c r="D16" s="1000" t="s">
        <v>22</v>
      </c>
      <c r="E16" s="256">
        <v>92.4</v>
      </c>
      <c r="F16" s="256">
        <v>32</v>
      </c>
      <c r="G16" s="995">
        <v>104</v>
      </c>
      <c r="H16" s="994">
        <v>71.099999999999994</v>
      </c>
      <c r="I16" s="995">
        <v>26.5</v>
      </c>
      <c r="J16" s="995">
        <v>93</v>
      </c>
      <c r="K16" s="1001">
        <v>4</v>
      </c>
      <c r="L16" s="761">
        <v>7.5</v>
      </c>
      <c r="M16" s="1002">
        <f t="shared" si="4"/>
        <v>4.1095890410958902E-2</v>
      </c>
      <c r="N16" s="1001">
        <v>9.5</v>
      </c>
      <c r="O16" s="1002">
        <f t="shared" si="3"/>
        <v>5.2054794520547946E-2</v>
      </c>
      <c r="P16" s="677">
        <v>3</v>
      </c>
      <c r="Q16" s="995">
        <f t="shared" si="5"/>
        <v>1.643835616438356E-2</v>
      </c>
      <c r="R16" s="1003">
        <v>0.85</v>
      </c>
      <c r="S16" s="1003">
        <v>0.7</v>
      </c>
      <c r="T16" s="1003">
        <v>0.75</v>
      </c>
      <c r="U16" s="1003">
        <v>0.6</v>
      </c>
      <c r="V16" s="1004">
        <v>0.25</v>
      </c>
      <c r="W16" s="1003">
        <v>15</v>
      </c>
      <c r="X16" s="1003">
        <v>30</v>
      </c>
      <c r="Y16" s="1003">
        <v>10</v>
      </c>
      <c r="Z16" s="1003">
        <v>10</v>
      </c>
      <c r="AA16" s="1005"/>
      <c r="AB16" s="1009"/>
      <c r="AC16" s="1009"/>
      <c r="AD16" s="1009"/>
      <c r="AE16" s="1009"/>
      <c r="AF16" s="1009"/>
      <c r="AG16" s="1009"/>
      <c r="AH16" s="1009"/>
      <c r="AI16" s="1009"/>
      <c r="AJ16" s="1009"/>
      <c r="AK16" s="1009"/>
      <c r="AL16" s="1009"/>
      <c r="AM16" s="1009"/>
    </row>
    <row r="17" spans="2:47" s="679" customFormat="1" ht="15.75">
      <c r="B17" s="938" t="s">
        <v>1222</v>
      </c>
      <c r="C17" s="1000">
        <v>10</v>
      </c>
      <c r="D17" s="1000" t="s">
        <v>22</v>
      </c>
      <c r="E17" s="256">
        <v>91</v>
      </c>
      <c r="F17" s="256">
        <v>32</v>
      </c>
      <c r="G17" s="995">
        <v>94.8</v>
      </c>
      <c r="H17" s="1006">
        <v>70.099999999999994</v>
      </c>
      <c r="I17" s="1006">
        <v>24</v>
      </c>
      <c r="J17" s="1006">
        <v>84.8</v>
      </c>
      <c r="K17" s="1001">
        <v>4</v>
      </c>
      <c r="L17" s="761">
        <v>7.5</v>
      </c>
      <c r="M17" s="1002">
        <f t="shared" si="4"/>
        <v>4.1095890410958902E-2</v>
      </c>
      <c r="N17" s="1001">
        <v>9.5</v>
      </c>
      <c r="O17" s="1002">
        <f t="shared" si="3"/>
        <v>5.2054794520547946E-2</v>
      </c>
      <c r="P17" s="677">
        <v>3</v>
      </c>
      <c r="Q17" s="995">
        <f t="shared" si="5"/>
        <v>1.643835616438356E-2</v>
      </c>
      <c r="R17" s="1003">
        <v>0.85</v>
      </c>
      <c r="S17" s="1003">
        <v>0.7</v>
      </c>
      <c r="T17" s="1003">
        <v>0.75</v>
      </c>
      <c r="U17" s="1003">
        <v>0.6</v>
      </c>
      <c r="V17" s="1004">
        <v>0.25</v>
      </c>
      <c r="W17" s="1003">
        <v>15</v>
      </c>
      <c r="X17" s="1003">
        <v>30</v>
      </c>
      <c r="Y17" s="1003">
        <v>10</v>
      </c>
      <c r="Z17" s="1003">
        <v>10</v>
      </c>
      <c r="AA17" s="1005"/>
      <c r="AB17" s="1080"/>
      <c r="AC17" s="1081"/>
      <c r="AD17" s="1081"/>
      <c r="AE17" s="1081"/>
      <c r="AF17" s="1081"/>
      <c r="AG17" s="1081"/>
      <c r="AH17" s="1081"/>
      <c r="AI17" s="1081"/>
      <c r="AJ17" s="1009"/>
      <c r="AK17" s="1009"/>
      <c r="AL17" s="1009"/>
      <c r="AM17" s="1009"/>
    </row>
    <row r="18" spans="2:47" ht="15.75">
      <c r="B18" s="938" t="s">
        <v>696</v>
      </c>
      <c r="C18" s="1000">
        <v>11</v>
      </c>
      <c r="D18" s="1000" t="s">
        <v>22</v>
      </c>
      <c r="E18" s="256">
        <v>76</v>
      </c>
      <c r="F18" s="256">
        <v>27</v>
      </c>
      <c r="G18" s="995">
        <v>84</v>
      </c>
      <c r="H18" s="994">
        <v>68</v>
      </c>
      <c r="I18" s="995">
        <v>22</v>
      </c>
      <c r="J18" s="995">
        <v>78</v>
      </c>
      <c r="K18" s="990">
        <v>3</v>
      </c>
      <c r="L18" s="761">
        <v>6.9</v>
      </c>
      <c r="M18" s="1002">
        <f t="shared" si="4"/>
        <v>3.7808219178082192E-2</v>
      </c>
      <c r="N18" s="1001">
        <v>9.25</v>
      </c>
      <c r="O18" s="1002">
        <f t="shared" si="3"/>
        <v>5.0684931506849315E-2</v>
      </c>
      <c r="P18" s="677">
        <v>2.9</v>
      </c>
      <c r="Q18" s="995">
        <f t="shared" si="5"/>
        <v>1.589041095890411E-2</v>
      </c>
      <c r="R18" s="1003">
        <v>0.85</v>
      </c>
      <c r="S18" s="1003">
        <v>0.7</v>
      </c>
      <c r="T18" s="23">
        <v>0.75</v>
      </c>
      <c r="U18" s="23">
        <v>0.6</v>
      </c>
      <c r="V18" s="309">
        <v>0.25</v>
      </c>
      <c r="W18" s="23">
        <v>15</v>
      </c>
      <c r="X18" s="23">
        <v>30</v>
      </c>
      <c r="Y18" s="23">
        <v>10</v>
      </c>
      <c r="Z18" s="23">
        <v>10</v>
      </c>
      <c r="AA18" s="2"/>
      <c r="AB18" s="1082"/>
      <c r="AC18" s="685"/>
      <c r="AD18" s="685"/>
      <c r="AE18" s="685"/>
      <c r="AF18" s="685"/>
      <c r="AG18" s="685"/>
      <c r="AH18" s="685"/>
      <c r="AI18" s="685"/>
      <c r="AN18" s="991"/>
      <c r="AO18" s="991"/>
      <c r="AP18" s="991"/>
      <c r="AQ18" s="991"/>
      <c r="AR18" s="991"/>
      <c r="AS18" s="991"/>
      <c r="AT18" s="991"/>
      <c r="AU18" s="991"/>
    </row>
    <row r="19" spans="2:47" ht="15.75">
      <c r="B19" s="938" t="s">
        <v>610</v>
      </c>
      <c r="C19" s="1000">
        <v>1</v>
      </c>
      <c r="D19" s="1000" t="s">
        <v>22</v>
      </c>
      <c r="E19" s="256">
        <v>16.600000000000001</v>
      </c>
      <c r="F19" s="256">
        <v>6.4</v>
      </c>
      <c r="G19" s="995">
        <v>15.3</v>
      </c>
      <c r="H19" s="994">
        <v>5.6</v>
      </c>
      <c r="I19" s="995">
        <v>2</v>
      </c>
      <c r="J19" s="995">
        <v>7.7</v>
      </c>
      <c r="K19" s="1024">
        <v>3</v>
      </c>
      <c r="L19" s="867">
        <v>1.84</v>
      </c>
      <c r="M19" s="1025">
        <f t="shared" si="4"/>
        <v>1.0082191780821918E-2</v>
      </c>
      <c r="N19" s="1001">
        <v>1.5</v>
      </c>
      <c r="O19" s="1002">
        <f>N19/182.5</f>
        <v>8.21917808219178E-3</v>
      </c>
      <c r="P19" s="995">
        <v>0.2</v>
      </c>
      <c r="Q19" s="995">
        <f t="shared" si="5"/>
        <v>1.0958904109589042E-3</v>
      </c>
      <c r="R19" s="1003">
        <v>0.85</v>
      </c>
      <c r="S19" s="1003">
        <v>0.7</v>
      </c>
      <c r="T19" s="23">
        <v>0.75</v>
      </c>
      <c r="U19" s="23">
        <v>0.6</v>
      </c>
      <c r="V19" s="309">
        <v>0.25</v>
      </c>
      <c r="W19" s="23">
        <v>15</v>
      </c>
      <c r="X19" s="23">
        <v>30</v>
      </c>
      <c r="Y19" s="23">
        <v>10</v>
      </c>
      <c r="Z19" s="23">
        <v>10</v>
      </c>
      <c r="AA19" s="2"/>
      <c r="AB19" s="1082"/>
      <c r="AC19" s="685"/>
      <c r="AD19" s="685"/>
      <c r="AE19" s="685"/>
      <c r="AF19" s="685"/>
      <c r="AG19" s="685"/>
      <c r="AH19" s="685"/>
      <c r="AI19" s="685"/>
      <c r="AN19" s="991"/>
      <c r="AO19" s="991"/>
      <c r="AP19" s="991"/>
      <c r="AQ19" s="991"/>
      <c r="AR19" s="991"/>
      <c r="AS19" s="991"/>
      <c r="AT19" s="991"/>
      <c r="AU19" s="991"/>
    </row>
    <row r="20" spans="2:47" ht="15.75">
      <c r="B20" s="938" t="s">
        <v>611</v>
      </c>
      <c r="C20" s="1000">
        <v>12</v>
      </c>
      <c r="D20" s="1000" t="s">
        <v>22</v>
      </c>
      <c r="E20" s="256">
        <v>31</v>
      </c>
      <c r="F20" s="256">
        <v>12.7</v>
      </c>
      <c r="G20" s="995">
        <v>23</v>
      </c>
      <c r="H20" s="994">
        <v>7</v>
      </c>
      <c r="I20" s="995">
        <v>2.9</v>
      </c>
      <c r="J20" s="995">
        <v>8</v>
      </c>
      <c r="K20" s="995">
        <v>0.5</v>
      </c>
      <c r="L20" s="995">
        <v>0.16900000000000001</v>
      </c>
      <c r="M20" s="1002">
        <f t="shared" si="4"/>
        <v>9.26027397260274E-4</v>
      </c>
      <c r="N20" s="1001">
        <v>2</v>
      </c>
      <c r="O20" s="1002">
        <f t="shared" ref="O20:O27" si="8">N20/182.5</f>
        <v>1.0958904109589041E-2</v>
      </c>
      <c r="P20" s="995">
        <v>0.25</v>
      </c>
      <c r="Q20" s="995">
        <f t="shared" si="5"/>
        <v>1.3698630136986301E-3</v>
      </c>
      <c r="R20" s="1003">
        <v>0.85</v>
      </c>
      <c r="S20" s="1003">
        <v>0.7</v>
      </c>
      <c r="T20" s="23">
        <v>0.75</v>
      </c>
      <c r="U20" s="23">
        <v>0.6</v>
      </c>
      <c r="V20" s="309">
        <v>0.25</v>
      </c>
      <c r="W20" s="23">
        <v>15</v>
      </c>
      <c r="X20" s="23">
        <v>30</v>
      </c>
      <c r="Y20" s="23">
        <v>10</v>
      </c>
      <c r="Z20" s="23">
        <v>10</v>
      </c>
      <c r="AA20" s="2"/>
      <c r="AB20" s="1587" t="s">
        <v>263</v>
      </c>
      <c r="AC20" s="1588"/>
      <c r="AD20" s="1588"/>
      <c r="AE20" s="1588"/>
      <c r="AF20" s="1588"/>
      <c r="AG20" s="1588"/>
      <c r="AH20" s="1588"/>
      <c r="AI20" s="1588"/>
      <c r="AJ20" s="1588"/>
      <c r="AK20" s="1588"/>
      <c r="AL20" s="1589"/>
      <c r="AN20" s="991"/>
      <c r="AO20" s="991"/>
      <c r="AP20" s="991"/>
      <c r="AQ20" s="991"/>
      <c r="AR20" s="991"/>
      <c r="AS20" s="991"/>
      <c r="AT20" s="991"/>
      <c r="AU20" s="991"/>
    </row>
    <row r="21" spans="2:47" ht="15.75">
      <c r="B21" s="938" t="s">
        <v>612</v>
      </c>
      <c r="C21" s="1000">
        <v>13</v>
      </c>
      <c r="D21" s="1000" t="s">
        <v>22</v>
      </c>
      <c r="E21" s="256">
        <v>13</v>
      </c>
      <c r="F21" s="256">
        <v>6.5</v>
      </c>
      <c r="G21" s="995">
        <v>13</v>
      </c>
      <c r="H21" s="994">
        <v>0.6</v>
      </c>
      <c r="I21" s="995">
        <v>0.4</v>
      </c>
      <c r="J21" s="995">
        <v>0.7</v>
      </c>
      <c r="K21" s="995">
        <v>0.5</v>
      </c>
      <c r="L21" s="995">
        <v>0.94</v>
      </c>
      <c r="M21" s="1002">
        <f t="shared" si="4"/>
        <v>5.1506849315068491E-3</v>
      </c>
      <c r="N21" s="1027">
        <v>1.25</v>
      </c>
      <c r="O21" s="1002">
        <f t="shared" si="8"/>
        <v>6.8493150684931503E-3</v>
      </c>
      <c r="P21" s="995">
        <v>0.3</v>
      </c>
      <c r="Q21" s="995">
        <f t="shared" si="5"/>
        <v>1.643835616438356E-3</v>
      </c>
      <c r="R21" s="1003">
        <v>0.85</v>
      </c>
      <c r="S21" s="1003">
        <v>0.7</v>
      </c>
      <c r="T21" s="23">
        <v>0.75</v>
      </c>
      <c r="U21" s="23">
        <v>0.6</v>
      </c>
      <c r="V21" s="309">
        <v>0.25</v>
      </c>
      <c r="W21" s="23">
        <v>15</v>
      </c>
      <c r="X21" s="23">
        <v>30</v>
      </c>
      <c r="Y21" s="23">
        <v>10</v>
      </c>
      <c r="Z21" s="23">
        <v>10</v>
      </c>
      <c r="AA21" s="2"/>
      <c r="AB21" s="1083"/>
      <c r="AC21" s="1573" t="s">
        <v>258</v>
      </c>
      <c r="AD21" s="1574"/>
      <c r="AE21" s="1574"/>
      <c r="AF21" s="1574"/>
      <c r="AG21" s="1574"/>
      <c r="AH21" s="1575"/>
      <c r="AI21" s="1570" t="s">
        <v>259</v>
      </c>
      <c r="AJ21" s="1571"/>
      <c r="AK21" s="1571"/>
      <c r="AL21" s="1571"/>
      <c r="AM21" s="1571"/>
      <c r="AN21" s="1572"/>
      <c r="AO21" s="1570" t="s">
        <v>260</v>
      </c>
      <c r="AP21" s="1571"/>
      <c r="AQ21" s="1571"/>
      <c r="AR21" s="1572"/>
      <c r="AS21" s="991"/>
      <c r="AT21" s="991"/>
      <c r="AU21" s="991"/>
    </row>
    <row r="22" spans="2:47" ht="15.75" customHeight="1">
      <c r="B22" s="938" t="s">
        <v>613</v>
      </c>
      <c r="C22" s="1000">
        <v>14</v>
      </c>
      <c r="D22" s="1000" t="s">
        <v>22</v>
      </c>
      <c r="E22" s="256">
        <v>15.9</v>
      </c>
      <c r="F22" s="256">
        <v>7.3</v>
      </c>
      <c r="G22" s="995">
        <v>14</v>
      </c>
      <c r="H22" s="994">
        <v>0.3</v>
      </c>
      <c r="I22" s="995">
        <v>0.1</v>
      </c>
      <c r="J22" s="995">
        <v>0.6</v>
      </c>
      <c r="K22" s="995">
        <v>0.5</v>
      </c>
      <c r="L22" s="995">
        <v>0.94</v>
      </c>
      <c r="M22" s="1002">
        <f t="shared" ref="M22:M28" si="9">$L22/182.5</f>
        <v>5.1506849315068491E-3</v>
      </c>
      <c r="N22" s="1027">
        <v>1.25</v>
      </c>
      <c r="O22" s="1002">
        <f t="shared" si="8"/>
        <v>6.8493150684931503E-3</v>
      </c>
      <c r="P22" s="995">
        <v>0.3</v>
      </c>
      <c r="Q22" s="995">
        <f t="shared" si="5"/>
        <v>1.643835616438356E-3</v>
      </c>
      <c r="R22" s="1003">
        <v>0.85</v>
      </c>
      <c r="S22" s="1003">
        <v>0.7</v>
      </c>
      <c r="T22" s="23">
        <v>0.75</v>
      </c>
      <c r="U22" s="23">
        <v>0.6</v>
      </c>
      <c r="V22" s="309">
        <v>0.25</v>
      </c>
      <c r="W22" s="23">
        <v>15</v>
      </c>
      <c r="X22" s="23">
        <v>30</v>
      </c>
      <c r="Y22" s="23">
        <v>10</v>
      </c>
      <c r="Z22" s="23">
        <v>10</v>
      </c>
      <c r="AA22" s="2"/>
      <c r="AB22" s="1073" t="s">
        <v>371</v>
      </c>
      <c r="AC22" s="1073" t="s">
        <v>459</v>
      </c>
      <c r="AD22" s="1073" t="s">
        <v>460</v>
      </c>
      <c r="AE22" s="1084" t="s">
        <v>461</v>
      </c>
      <c r="AF22" s="1084" t="s">
        <v>462</v>
      </c>
      <c r="AG22" s="1073" t="s">
        <v>463</v>
      </c>
      <c r="AH22" s="1073" t="s">
        <v>464</v>
      </c>
      <c r="AI22" s="1073" t="s">
        <v>459</v>
      </c>
      <c r="AJ22" s="1073" t="s">
        <v>460</v>
      </c>
      <c r="AK22" s="1084" t="s">
        <v>461</v>
      </c>
      <c r="AL22" s="1084" t="s">
        <v>462</v>
      </c>
      <c r="AM22" s="1073" t="s">
        <v>463</v>
      </c>
      <c r="AN22" s="12" t="s">
        <v>464</v>
      </c>
      <c r="AO22" s="12" t="s">
        <v>450</v>
      </c>
      <c r="AP22" s="12" t="s">
        <v>451</v>
      </c>
      <c r="AQ22" s="12" t="s">
        <v>453</v>
      </c>
      <c r="AR22" s="12" t="s">
        <v>454</v>
      </c>
      <c r="AS22" s="991"/>
      <c r="AT22" s="991"/>
      <c r="AU22" s="991"/>
    </row>
    <row r="23" spans="2:47" ht="15.75" customHeight="1">
      <c r="B23" s="938" t="s">
        <v>697</v>
      </c>
      <c r="C23" s="1000">
        <v>15</v>
      </c>
      <c r="D23" s="1000" t="s">
        <v>22</v>
      </c>
      <c r="E23" s="256">
        <v>15.7</v>
      </c>
      <c r="F23" s="256">
        <v>5.4</v>
      </c>
      <c r="G23" s="995">
        <v>15</v>
      </c>
      <c r="H23" s="994">
        <v>6</v>
      </c>
      <c r="I23" s="995">
        <v>2.2999999999999998</v>
      </c>
      <c r="J23" s="995">
        <v>7</v>
      </c>
      <c r="K23" s="995">
        <v>0.5</v>
      </c>
      <c r="L23" s="995">
        <v>2.2999999999999998</v>
      </c>
      <c r="M23" s="1002">
        <f t="shared" si="9"/>
        <v>1.2602739726027396E-2</v>
      </c>
      <c r="N23" s="1027">
        <v>2.75</v>
      </c>
      <c r="O23" s="1002">
        <f t="shared" si="8"/>
        <v>1.5068493150684932E-2</v>
      </c>
      <c r="P23" s="995">
        <v>0.25</v>
      </c>
      <c r="Q23" s="995">
        <f t="shared" si="5"/>
        <v>1.3698630136986301E-3</v>
      </c>
      <c r="R23" s="1003">
        <v>0.85</v>
      </c>
      <c r="S23" s="1003">
        <v>0.7</v>
      </c>
      <c r="T23" s="23">
        <v>0.75</v>
      </c>
      <c r="U23" s="23">
        <v>0.6</v>
      </c>
      <c r="V23" s="309">
        <v>0.25</v>
      </c>
      <c r="W23" s="23">
        <v>15</v>
      </c>
      <c r="X23" s="23">
        <v>30</v>
      </c>
      <c r="Y23" s="23">
        <v>10</v>
      </c>
      <c r="Z23" s="23">
        <v>10</v>
      </c>
      <c r="AA23" s="2"/>
      <c r="AB23" s="1073" t="s">
        <v>465</v>
      </c>
      <c r="AC23" s="1073" t="s">
        <v>466</v>
      </c>
      <c r="AD23" s="1073" t="s">
        <v>467</v>
      </c>
      <c r="AE23" s="1073" t="s">
        <v>468</v>
      </c>
      <c r="AF23" s="1073" t="s">
        <v>469</v>
      </c>
      <c r="AG23" s="1073" t="s">
        <v>470</v>
      </c>
      <c r="AH23" s="1073" t="s">
        <v>470</v>
      </c>
      <c r="AI23" s="1073" t="s">
        <v>491</v>
      </c>
      <c r="AJ23" s="1073" t="s">
        <v>492</v>
      </c>
      <c r="AK23" s="1073" t="s">
        <v>493</v>
      </c>
      <c r="AL23" s="1073" t="s">
        <v>494</v>
      </c>
      <c r="AM23" s="1073" t="s">
        <v>495</v>
      </c>
      <c r="AN23" s="12" t="s">
        <v>496</v>
      </c>
      <c r="AO23" s="12" t="s">
        <v>449</v>
      </c>
      <c r="AP23" s="12" t="s">
        <v>452</v>
      </c>
      <c r="AQ23" s="12" t="s">
        <v>368</v>
      </c>
      <c r="AR23" s="12" t="s">
        <v>369</v>
      </c>
      <c r="AS23" s="991"/>
      <c r="AT23" s="991"/>
      <c r="AU23" s="991"/>
    </row>
    <row r="24" spans="2:47" ht="15.75" customHeight="1">
      <c r="B24" s="938" t="s">
        <v>614</v>
      </c>
      <c r="C24" s="1000">
        <v>16</v>
      </c>
      <c r="D24" s="1000" t="s">
        <v>22</v>
      </c>
      <c r="E24" s="256">
        <v>14.6</v>
      </c>
      <c r="F24" s="256">
        <v>4.5</v>
      </c>
      <c r="G24" s="995">
        <v>15</v>
      </c>
      <c r="H24" s="994">
        <v>6</v>
      </c>
      <c r="I24" s="995">
        <v>2.2999999999999998</v>
      </c>
      <c r="J24" s="995">
        <v>7</v>
      </c>
      <c r="K24" s="995">
        <v>0.5</v>
      </c>
      <c r="L24" s="995">
        <v>2.2999999999999998</v>
      </c>
      <c r="M24" s="1002">
        <f t="shared" si="9"/>
        <v>1.2602739726027396E-2</v>
      </c>
      <c r="N24" s="1027">
        <v>2.75</v>
      </c>
      <c r="O24" s="1002">
        <f t="shared" si="8"/>
        <v>1.5068493150684932E-2</v>
      </c>
      <c r="P24" s="995">
        <v>0.25</v>
      </c>
      <c r="Q24" s="995">
        <f t="shared" si="5"/>
        <v>1.3698630136986301E-3</v>
      </c>
      <c r="R24" s="1003">
        <v>0.85</v>
      </c>
      <c r="S24" s="1003">
        <v>0.7</v>
      </c>
      <c r="T24" s="23">
        <v>0.75</v>
      </c>
      <c r="U24" s="23">
        <v>0.6</v>
      </c>
      <c r="V24" s="309">
        <v>0.25</v>
      </c>
      <c r="W24" s="23">
        <v>15</v>
      </c>
      <c r="X24" s="23">
        <v>30</v>
      </c>
      <c r="Y24" s="23">
        <v>10</v>
      </c>
      <c r="Z24" s="23">
        <v>10</v>
      </c>
      <c r="AA24" s="2"/>
      <c r="AB24" s="1073" t="s">
        <v>471</v>
      </c>
      <c r="AC24" s="1073" t="s">
        <v>472</v>
      </c>
      <c r="AD24" s="1073" t="s">
        <v>473</v>
      </c>
      <c r="AE24" s="1073" t="s">
        <v>474</v>
      </c>
      <c r="AF24" s="1073" t="s">
        <v>475</v>
      </c>
      <c r="AG24" s="1073" t="s">
        <v>476</v>
      </c>
      <c r="AH24" s="1073" t="s">
        <v>477</v>
      </c>
      <c r="AI24" s="1073" t="s">
        <v>497</v>
      </c>
      <c r="AJ24" s="1073" t="s">
        <v>498</v>
      </c>
      <c r="AK24" s="1073" t="s">
        <v>499</v>
      </c>
      <c r="AL24" s="1073" t="s">
        <v>499</v>
      </c>
      <c r="AM24" s="1073" t="s">
        <v>500</v>
      </c>
      <c r="AN24" s="12" t="s">
        <v>501</v>
      </c>
      <c r="AO24" s="12" t="s">
        <v>449</v>
      </c>
      <c r="AP24" s="12" t="s">
        <v>452</v>
      </c>
      <c r="AQ24" s="12" t="s">
        <v>368</v>
      </c>
      <c r="AR24" s="12" t="s">
        <v>369</v>
      </c>
      <c r="AS24" s="991"/>
      <c r="AT24" s="991"/>
      <c r="AU24" s="991"/>
    </row>
    <row r="25" spans="2:47" ht="15.75" customHeight="1">
      <c r="B25" s="938" t="s">
        <v>615</v>
      </c>
      <c r="C25" s="1000">
        <v>17</v>
      </c>
      <c r="D25" s="1000" t="s">
        <v>22</v>
      </c>
      <c r="E25" s="256">
        <v>36.6</v>
      </c>
      <c r="F25" s="256">
        <v>14.2</v>
      </c>
      <c r="G25" s="995">
        <v>30.3</v>
      </c>
      <c r="H25" s="994">
        <v>19.600000000000001</v>
      </c>
      <c r="I25" s="995">
        <v>7.9</v>
      </c>
      <c r="J25" s="995">
        <v>21.5</v>
      </c>
      <c r="K25" s="677">
        <v>1</v>
      </c>
      <c r="L25" s="995">
        <v>2.2999999999999998</v>
      </c>
      <c r="M25" s="1002">
        <f t="shared" si="9"/>
        <v>1.2602739726027396E-2</v>
      </c>
      <c r="N25" s="1027">
        <v>3.35</v>
      </c>
      <c r="O25" s="1002">
        <f t="shared" si="8"/>
        <v>1.8356164383561645E-2</v>
      </c>
      <c r="P25" s="995">
        <v>1.2</v>
      </c>
      <c r="Q25" s="995">
        <f t="shared" si="5"/>
        <v>6.5753424657534242E-3</v>
      </c>
      <c r="R25" s="1003">
        <v>0.85</v>
      </c>
      <c r="S25" s="1003">
        <v>0.7</v>
      </c>
      <c r="T25" s="23">
        <v>0.75</v>
      </c>
      <c r="U25" s="23">
        <v>0.6</v>
      </c>
      <c r="V25" s="309">
        <v>0.25</v>
      </c>
      <c r="W25" s="23">
        <v>15</v>
      </c>
      <c r="X25" s="23">
        <v>30</v>
      </c>
      <c r="Y25" s="23">
        <v>10</v>
      </c>
      <c r="Z25" s="23">
        <v>10</v>
      </c>
      <c r="AA25" s="2"/>
      <c r="AB25" s="1073" t="s">
        <v>1227</v>
      </c>
      <c r="AC25" s="1073" t="s">
        <v>1250</v>
      </c>
      <c r="AD25" s="1046" t="s">
        <v>1251</v>
      </c>
      <c r="AE25" s="1046" t="s">
        <v>1261</v>
      </c>
      <c r="AF25" s="1046" t="s">
        <v>1262</v>
      </c>
      <c r="AG25" s="1046" t="s">
        <v>1228</v>
      </c>
      <c r="AH25" s="1046" t="s">
        <v>1229</v>
      </c>
      <c r="AI25" s="1046" t="s">
        <v>1230</v>
      </c>
      <c r="AJ25" s="1046" t="s">
        <v>1252</v>
      </c>
      <c r="AK25" s="1046" t="s">
        <v>1256</v>
      </c>
      <c r="AL25" s="1046" t="s">
        <v>1255</v>
      </c>
      <c r="AM25" s="1047" t="s">
        <v>1231</v>
      </c>
      <c r="AN25" s="1047" t="s">
        <v>1232</v>
      </c>
      <c r="AO25" s="12" t="s">
        <v>449</v>
      </c>
      <c r="AP25" s="12" t="s">
        <v>452</v>
      </c>
      <c r="AQ25" s="12" t="s">
        <v>368</v>
      </c>
      <c r="AR25" s="12" t="s">
        <v>369</v>
      </c>
      <c r="AS25" s="991"/>
      <c r="AT25" s="991"/>
      <c r="AU25" s="991"/>
    </row>
    <row r="26" spans="2:47" ht="15.75" customHeight="1">
      <c r="B26" s="938" t="s">
        <v>616</v>
      </c>
      <c r="C26" s="1000">
        <v>18</v>
      </c>
      <c r="D26" s="1000" t="s">
        <v>22</v>
      </c>
      <c r="E26" s="256">
        <v>39.1</v>
      </c>
      <c r="F26" s="256">
        <v>14.3</v>
      </c>
      <c r="G26" s="995">
        <v>31.6</v>
      </c>
      <c r="H26" s="994">
        <v>20.2</v>
      </c>
      <c r="I26" s="995">
        <v>8.1</v>
      </c>
      <c r="J26" s="995">
        <v>22.1</v>
      </c>
      <c r="K26" s="677">
        <v>1</v>
      </c>
      <c r="L26" s="995">
        <v>2.2999999999999998</v>
      </c>
      <c r="M26" s="1002">
        <f t="shared" si="9"/>
        <v>1.2602739726027396E-2</v>
      </c>
      <c r="N26" s="1027">
        <v>3.65</v>
      </c>
      <c r="O26" s="1002">
        <f t="shared" si="8"/>
        <v>0.02</v>
      </c>
      <c r="P26" s="995">
        <v>1.5</v>
      </c>
      <c r="Q26" s="995">
        <f t="shared" si="5"/>
        <v>8.21917808219178E-3</v>
      </c>
      <c r="R26" s="1003">
        <v>0.85</v>
      </c>
      <c r="S26" s="1003">
        <v>0.7</v>
      </c>
      <c r="T26" s="23">
        <v>0.75</v>
      </c>
      <c r="U26" s="23">
        <v>0.6</v>
      </c>
      <c r="V26" s="309">
        <v>0.25</v>
      </c>
      <c r="W26" s="23">
        <v>15</v>
      </c>
      <c r="X26" s="23">
        <v>30</v>
      </c>
      <c r="Y26" s="23">
        <v>10</v>
      </c>
      <c r="Z26" s="23">
        <v>10</v>
      </c>
      <c r="AA26" s="2"/>
      <c r="AB26" s="1073" t="s">
        <v>478</v>
      </c>
      <c r="AC26" s="1073" t="s">
        <v>479</v>
      </c>
      <c r="AD26" s="1073" t="s">
        <v>480</v>
      </c>
      <c r="AE26" s="1073" t="s">
        <v>261</v>
      </c>
      <c r="AF26" s="1073" t="s">
        <v>261</v>
      </c>
      <c r="AG26" s="1073" t="s">
        <v>481</v>
      </c>
      <c r="AH26" s="1073" t="s">
        <v>482</v>
      </c>
      <c r="AI26" s="1073" t="s">
        <v>502</v>
      </c>
      <c r="AJ26" s="1073" t="s">
        <v>503</v>
      </c>
      <c r="AK26" s="1073" t="s">
        <v>504</v>
      </c>
      <c r="AL26" s="1073" t="s">
        <v>505</v>
      </c>
      <c r="AM26" s="1073" t="s">
        <v>506</v>
      </c>
      <c r="AN26" s="12" t="s">
        <v>507</v>
      </c>
      <c r="AO26" s="12" t="s">
        <v>449</v>
      </c>
      <c r="AP26" s="12" t="s">
        <v>452</v>
      </c>
      <c r="AQ26" s="12" t="s">
        <v>368</v>
      </c>
      <c r="AR26" s="12" t="s">
        <v>369</v>
      </c>
      <c r="AS26" s="991"/>
      <c r="AT26" s="991"/>
      <c r="AU26" s="991"/>
    </row>
    <row r="27" spans="2:47" ht="15.75" customHeight="1">
      <c r="B27" s="938" t="s">
        <v>617</v>
      </c>
      <c r="C27" s="1000">
        <v>19</v>
      </c>
      <c r="D27" s="1000" t="s">
        <v>22</v>
      </c>
      <c r="E27" s="256">
        <v>40.700000000000003</v>
      </c>
      <c r="F27" s="256">
        <v>14.7</v>
      </c>
      <c r="G27" s="995">
        <v>30.9</v>
      </c>
      <c r="H27" s="994">
        <v>21</v>
      </c>
      <c r="I27" s="995">
        <v>8.5</v>
      </c>
      <c r="J27" s="995">
        <v>22.1</v>
      </c>
      <c r="K27" s="677">
        <v>1</v>
      </c>
      <c r="L27" s="995">
        <v>2.2999999999999998</v>
      </c>
      <c r="M27" s="1002">
        <f t="shared" si="9"/>
        <v>1.2602739726027396E-2</v>
      </c>
      <c r="N27" s="1027">
        <v>3.35</v>
      </c>
      <c r="O27" s="1002">
        <f t="shared" si="8"/>
        <v>1.8356164383561645E-2</v>
      </c>
      <c r="P27" s="995">
        <v>1.5</v>
      </c>
      <c r="Q27" s="995">
        <f t="shared" si="5"/>
        <v>8.21917808219178E-3</v>
      </c>
      <c r="R27" s="1003">
        <v>0.85</v>
      </c>
      <c r="S27" s="1003">
        <v>0.7</v>
      </c>
      <c r="T27" s="23">
        <v>0.75</v>
      </c>
      <c r="U27" s="23">
        <v>0.6</v>
      </c>
      <c r="V27" s="309">
        <v>0.25</v>
      </c>
      <c r="W27" s="23">
        <v>15</v>
      </c>
      <c r="X27" s="23">
        <v>30</v>
      </c>
      <c r="Y27" s="23">
        <v>10</v>
      </c>
      <c r="Z27" s="23">
        <v>10</v>
      </c>
      <c r="AA27" s="2"/>
      <c r="AB27" s="1073" t="s">
        <v>483</v>
      </c>
      <c r="AC27" s="1073" t="s">
        <v>1246</v>
      </c>
      <c r="AD27" s="1073" t="s">
        <v>1247</v>
      </c>
      <c r="AE27" s="1073" t="s">
        <v>1265</v>
      </c>
      <c r="AF27" s="1073" t="s">
        <v>1261</v>
      </c>
      <c r="AG27" s="1073" t="s">
        <v>484</v>
      </c>
      <c r="AH27" s="1073" t="s">
        <v>485</v>
      </c>
      <c r="AI27" s="1073" t="s">
        <v>1253</v>
      </c>
      <c r="AJ27" s="1073" t="s">
        <v>1254</v>
      </c>
      <c r="AK27" s="1073" t="s">
        <v>1257</v>
      </c>
      <c r="AL27" s="1073" t="s">
        <v>1258</v>
      </c>
      <c r="AM27" s="1073" t="s">
        <v>509</v>
      </c>
      <c r="AN27" s="12" t="s">
        <v>510</v>
      </c>
      <c r="AO27" s="12" t="s">
        <v>449</v>
      </c>
      <c r="AP27" s="12" t="s">
        <v>452</v>
      </c>
      <c r="AQ27" s="12" t="s">
        <v>368</v>
      </c>
      <c r="AR27" s="12" t="s">
        <v>369</v>
      </c>
      <c r="AS27" s="991"/>
      <c r="AT27" s="991"/>
      <c r="AU27" s="991"/>
    </row>
    <row r="28" spans="2:47" ht="15.75" customHeight="1">
      <c r="B28" s="938" t="s">
        <v>618</v>
      </c>
      <c r="C28" s="1000">
        <v>20</v>
      </c>
      <c r="D28" s="1000" t="s">
        <v>22</v>
      </c>
      <c r="E28" s="256">
        <v>41.3</v>
      </c>
      <c r="F28" s="256">
        <v>14.8</v>
      </c>
      <c r="G28" s="995">
        <v>27.8</v>
      </c>
      <c r="H28" s="994">
        <v>22.4</v>
      </c>
      <c r="I28" s="995">
        <v>9</v>
      </c>
      <c r="J28" s="995">
        <v>20.8</v>
      </c>
      <c r="K28" s="677">
        <v>1</v>
      </c>
      <c r="L28" s="995">
        <v>2.2999999999999998</v>
      </c>
      <c r="M28" s="1002">
        <f t="shared" si="9"/>
        <v>1.2602739726027396E-2</v>
      </c>
      <c r="N28" s="1027">
        <v>3.85</v>
      </c>
      <c r="O28" s="1002">
        <f t="shared" si="1"/>
        <v>2.1095890410958905E-2</v>
      </c>
      <c r="P28" s="995">
        <v>1.5</v>
      </c>
      <c r="Q28" s="995">
        <f t="shared" si="5"/>
        <v>8.21917808219178E-3</v>
      </c>
      <c r="R28" s="1003">
        <v>0.85</v>
      </c>
      <c r="S28" s="1003">
        <v>0.7</v>
      </c>
      <c r="T28" s="23">
        <v>0.75</v>
      </c>
      <c r="U28" s="23">
        <v>0.6</v>
      </c>
      <c r="V28" s="309">
        <v>0.25</v>
      </c>
      <c r="W28" s="23">
        <v>15</v>
      </c>
      <c r="X28" s="23">
        <v>30</v>
      </c>
      <c r="Y28" s="23">
        <v>10</v>
      </c>
      <c r="Z28" s="23">
        <v>10</v>
      </c>
      <c r="AA28" s="2"/>
      <c r="AB28" s="1073" t="s">
        <v>1233</v>
      </c>
      <c r="AC28" s="1046" t="s">
        <v>1248</v>
      </c>
      <c r="AD28" s="1046" t="s">
        <v>1249</v>
      </c>
      <c r="AE28" s="1046" t="s">
        <v>1263</v>
      </c>
      <c r="AF28" s="1046" t="s">
        <v>1264</v>
      </c>
      <c r="AG28" s="1073" t="s">
        <v>1234</v>
      </c>
      <c r="AH28" s="1073" t="s">
        <v>485</v>
      </c>
      <c r="AI28" s="1073" t="s">
        <v>511</v>
      </c>
      <c r="AJ28" s="1073" t="s">
        <v>508</v>
      </c>
      <c r="AK28" s="1046" t="s">
        <v>1259</v>
      </c>
      <c r="AL28" s="1046" t="s">
        <v>1260</v>
      </c>
      <c r="AM28" s="1073" t="s">
        <v>1236</v>
      </c>
      <c r="AN28" s="12" t="s">
        <v>1235</v>
      </c>
      <c r="AO28" s="12" t="s">
        <v>449</v>
      </c>
      <c r="AP28" s="12" t="s">
        <v>452</v>
      </c>
      <c r="AQ28" s="12" t="s">
        <v>368</v>
      </c>
      <c r="AR28" s="12" t="s">
        <v>369</v>
      </c>
      <c r="AS28" s="991"/>
      <c r="AT28" s="991"/>
      <c r="AU28" s="991"/>
    </row>
    <row r="29" spans="2:47" ht="15.75" customHeight="1">
      <c r="B29" s="938" t="s">
        <v>658</v>
      </c>
      <c r="C29" s="1000">
        <v>21</v>
      </c>
      <c r="D29" s="1000" t="s">
        <v>22</v>
      </c>
      <c r="E29" s="256">
        <v>88</v>
      </c>
      <c r="F29" s="256">
        <v>26</v>
      </c>
      <c r="G29" s="995">
        <v>104</v>
      </c>
      <c r="H29" s="994">
        <v>90</v>
      </c>
      <c r="I29" s="995">
        <v>27</v>
      </c>
      <c r="J29" s="995">
        <v>108</v>
      </c>
      <c r="K29" s="677">
        <v>4</v>
      </c>
      <c r="L29" s="677">
        <v>6</v>
      </c>
      <c r="M29" s="1002">
        <f>L29/182.5</f>
        <v>3.287671232876712E-2</v>
      </c>
      <c r="N29" s="1001">
        <v>8</v>
      </c>
      <c r="O29" s="1002">
        <f>N29/182.5</f>
        <v>4.3835616438356165E-2</v>
      </c>
      <c r="P29" s="677">
        <v>2.75</v>
      </c>
      <c r="Q29" s="995">
        <f t="shared" si="5"/>
        <v>1.5068493150684932E-2</v>
      </c>
      <c r="R29" s="1003">
        <v>0.85</v>
      </c>
      <c r="S29" s="1003">
        <v>0.7</v>
      </c>
      <c r="T29" s="23">
        <v>0.75</v>
      </c>
      <c r="U29" s="23">
        <v>0.6</v>
      </c>
      <c r="V29" s="309">
        <v>0.25</v>
      </c>
      <c r="W29" s="23">
        <v>15</v>
      </c>
      <c r="X29" s="23">
        <v>30</v>
      </c>
      <c r="Y29" s="23">
        <v>10</v>
      </c>
      <c r="Z29" s="23">
        <v>10</v>
      </c>
      <c r="AA29" s="2"/>
      <c r="AB29" s="1073" t="s">
        <v>486</v>
      </c>
      <c r="AC29" s="1073" t="s">
        <v>487</v>
      </c>
      <c r="AD29" s="1073" t="s">
        <v>488</v>
      </c>
      <c r="AE29" s="1073" t="s">
        <v>489</v>
      </c>
      <c r="AF29" s="1073" t="s">
        <v>490</v>
      </c>
      <c r="AG29" s="1073" t="s">
        <v>262</v>
      </c>
      <c r="AH29" s="1073" t="s">
        <v>262</v>
      </c>
      <c r="AI29" s="1073" t="s">
        <v>511</v>
      </c>
      <c r="AJ29" s="1073" t="s">
        <v>512</v>
      </c>
      <c r="AK29" s="1073" t="s">
        <v>513</v>
      </c>
      <c r="AL29" s="1073" t="s">
        <v>513</v>
      </c>
      <c r="AM29" s="1073" t="s">
        <v>514</v>
      </c>
      <c r="AN29" s="12" t="s">
        <v>515</v>
      </c>
      <c r="AO29" s="12" t="s">
        <v>370</v>
      </c>
      <c r="AP29" s="12" t="s">
        <v>370</v>
      </c>
      <c r="AQ29" s="12" t="s">
        <v>368</v>
      </c>
      <c r="AR29" s="12" t="s">
        <v>369</v>
      </c>
      <c r="AS29" s="991"/>
      <c r="AT29" s="991"/>
      <c r="AU29" s="991"/>
    </row>
    <row r="30" spans="2:47" ht="15.75">
      <c r="B30" s="938" t="s">
        <v>659</v>
      </c>
      <c r="C30" s="1000">
        <v>22</v>
      </c>
      <c r="D30" s="1000" t="s">
        <v>22</v>
      </c>
      <c r="E30" s="256">
        <v>105</v>
      </c>
      <c r="F30" s="256">
        <v>31</v>
      </c>
      <c r="G30" s="995">
        <v>129</v>
      </c>
      <c r="H30" s="994">
        <v>108</v>
      </c>
      <c r="I30" s="995">
        <v>32</v>
      </c>
      <c r="J30" s="995">
        <v>128</v>
      </c>
      <c r="K30" s="677">
        <v>5</v>
      </c>
      <c r="L30" s="677">
        <v>7.9</v>
      </c>
      <c r="M30" s="1002">
        <f t="shared" ref="M30:M31" si="10">L30/182.5</f>
        <v>4.3287671232876718E-2</v>
      </c>
      <c r="N30" s="1001">
        <v>10</v>
      </c>
      <c r="O30" s="1002">
        <f>N30/182.5</f>
        <v>5.4794520547945202E-2</v>
      </c>
      <c r="P30" s="677">
        <v>3</v>
      </c>
      <c r="Q30" s="995">
        <f t="shared" si="5"/>
        <v>1.643835616438356E-2</v>
      </c>
      <c r="R30" s="1003">
        <v>0.85</v>
      </c>
      <c r="S30" s="1003">
        <v>0.7</v>
      </c>
      <c r="T30" s="23">
        <v>0.75</v>
      </c>
      <c r="U30" s="23">
        <v>0.6</v>
      </c>
      <c r="V30" s="309">
        <v>0.25</v>
      </c>
      <c r="W30" s="23">
        <v>15</v>
      </c>
      <c r="X30" s="23">
        <v>30</v>
      </c>
      <c r="Y30" s="23">
        <v>10</v>
      </c>
      <c r="Z30" s="23">
        <v>10</v>
      </c>
      <c r="AA30" s="2"/>
      <c r="AC30" s="1584" t="s">
        <v>267</v>
      </c>
      <c r="AD30" s="1585"/>
      <c r="AE30" s="1586"/>
      <c r="AF30" s="685"/>
      <c r="AG30" s="685"/>
      <c r="AH30" s="685"/>
      <c r="AI30" s="685"/>
      <c r="AN30" s="991"/>
      <c r="AO30" s="991"/>
      <c r="AP30" s="991"/>
      <c r="AQ30" s="991"/>
      <c r="AR30" s="991"/>
      <c r="AS30" s="991"/>
      <c r="AT30" s="991"/>
      <c r="AU30" s="991"/>
    </row>
    <row r="31" spans="2:47" ht="18.75">
      <c r="B31" s="1028" t="s">
        <v>660</v>
      </c>
      <c r="C31" s="1000">
        <v>23</v>
      </c>
      <c r="D31" s="1000" t="s">
        <v>22</v>
      </c>
      <c r="E31" s="256">
        <v>114</v>
      </c>
      <c r="F31" s="256">
        <v>33</v>
      </c>
      <c r="G31" s="995">
        <v>142</v>
      </c>
      <c r="H31" s="994">
        <v>120</v>
      </c>
      <c r="I31" s="995">
        <v>36</v>
      </c>
      <c r="J31" s="995">
        <v>142</v>
      </c>
      <c r="K31" s="677">
        <v>5</v>
      </c>
      <c r="L31" s="677">
        <v>7.9</v>
      </c>
      <c r="M31" s="1002">
        <f t="shared" si="10"/>
        <v>4.3287671232876718E-2</v>
      </c>
      <c r="N31" s="1001">
        <v>10</v>
      </c>
      <c r="O31" s="1002">
        <f>N31/182.5</f>
        <v>5.4794520547945202E-2</v>
      </c>
      <c r="P31" s="677">
        <v>3</v>
      </c>
      <c r="Q31" s="995">
        <f t="shared" si="5"/>
        <v>1.643835616438356E-2</v>
      </c>
      <c r="R31" s="1003">
        <v>0.85</v>
      </c>
      <c r="S31" s="1003">
        <v>0.7</v>
      </c>
      <c r="T31" s="23">
        <v>0.75</v>
      </c>
      <c r="U31" s="23">
        <v>0.6</v>
      </c>
      <c r="V31" s="309">
        <v>0.25</v>
      </c>
      <c r="W31" s="23">
        <v>15</v>
      </c>
      <c r="X31" s="23">
        <v>30</v>
      </c>
      <c r="Y31" s="23">
        <v>10</v>
      </c>
      <c r="Z31" s="23">
        <v>10</v>
      </c>
      <c r="AA31" s="2"/>
      <c r="AB31" s="49" t="s">
        <v>268</v>
      </c>
      <c r="AC31" s="49" t="s">
        <v>1</v>
      </c>
      <c r="AD31" s="49" t="s">
        <v>295</v>
      </c>
      <c r="AE31" s="49" t="s">
        <v>296</v>
      </c>
      <c r="AF31" s="685"/>
      <c r="AG31" s="685"/>
      <c r="AH31" s="685"/>
      <c r="AI31" s="685"/>
      <c r="AN31" s="991"/>
      <c r="AO31" s="991"/>
      <c r="AP31" s="991"/>
      <c r="AQ31" s="991"/>
      <c r="AR31" s="991"/>
      <c r="AS31" s="991"/>
      <c r="AT31" s="991"/>
      <c r="AU31" s="991"/>
    </row>
    <row r="32" spans="2:47" ht="16.5" customHeight="1">
      <c r="B32" s="24" t="s">
        <v>619</v>
      </c>
      <c r="C32" s="1000">
        <v>24</v>
      </c>
      <c r="D32" s="256" t="s">
        <v>22</v>
      </c>
      <c r="E32" s="256">
        <v>27.1</v>
      </c>
      <c r="F32" s="256">
        <v>12.6</v>
      </c>
      <c r="G32" s="995">
        <v>12.8</v>
      </c>
      <c r="H32" s="995"/>
      <c r="I32" s="995"/>
      <c r="J32" s="995"/>
      <c r="K32" s="677">
        <v>2</v>
      </c>
      <c r="L32" s="995">
        <v>1.75</v>
      </c>
      <c r="M32" s="1025">
        <f>$L32/182.5</f>
        <v>9.5890410958904115E-3</v>
      </c>
      <c r="N32" s="1001">
        <v>2</v>
      </c>
      <c r="O32" s="1002">
        <f t="shared" ref="O32:O43" si="11">N32/182.5</f>
        <v>1.0958904109589041E-2</v>
      </c>
      <c r="P32" s="995">
        <v>0.6</v>
      </c>
      <c r="Q32" s="995">
        <f t="shared" si="5"/>
        <v>3.2876712328767121E-3</v>
      </c>
      <c r="R32" s="1003">
        <v>0.8</v>
      </c>
      <c r="S32" s="1003">
        <v>0.7</v>
      </c>
      <c r="T32" s="23">
        <v>0.75</v>
      </c>
      <c r="U32" s="23">
        <v>0.6</v>
      </c>
      <c r="V32" s="309">
        <v>0.25</v>
      </c>
      <c r="W32" s="23">
        <v>20</v>
      </c>
      <c r="X32" s="23">
        <v>30</v>
      </c>
      <c r="Y32" s="23">
        <v>5</v>
      </c>
      <c r="Z32" s="23">
        <v>10</v>
      </c>
      <c r="AA32" s="2"/>
      <c r="AB32" s="49" t="s">
        <v>269</v>
      </c>
      <c r="AC32" s="49" t="s">
        <v>270</v>
      </c>
      <c r="AD32" s="49" t="s">
        <v>271</v>
      </c>
      <c r="AE32" s="49" t="s">
        <v>272</v>
      </c>
      <c r="AF32" s="685"/>
      <c r="AG32" s="685"/>
      <c r="AH32" s="685"/>
      <c r="AI32" s="685"/>
      <c r="AN32" s="991"/>
      <c r="AO32" s="991"/>
      <c r="AP32" s="991"/>
      <c r="AQ32" s="991"/>
      <c r="AR32" s="991"/>
      <c r="AS32" s="991"/>
      <c r="AT32" s="991"/>
      <c r="AU32" s="991"/>
    </row>
    <row r="33" spans="2:47" ht="16.5" customHeight="1">
      <c r="B33" s="24" t="s">
        <v>621</v>
      </c>
      <c r="C33" s="1000">
        <v>25</v>
      </c>
      <c r="D33" s="256" t="s">
        <v>22</v>
      </c>
      <c r="E33" s="256">
        <v>24</v>
      </c>
      <c r="F33" s="256">
        <v>11</v>
      </c>
      <c r="G33" s="995">
        <v>11.6</v>
      </c>
      <c r="H33" s="995"/>
      <c r="I33" s="995"/>
      <c r="J33" s="995"/>
      <c r="K33" s="677">
        <v>2</v>
      </c>
      <c r="L33" s="995">
        <v>1.75</v>
      </c>
      <c r="M33" s="1025">
        <f t="shared" ref="M33:M49" si="12">$L33/182.5</f>
        <v>9.5890410958904115E-3</v>
      </c>
      <c r="N33" s="1001">
        <v>2</v>
      </c>
      <c r="O33" s="1002">
        <f t="shared" si="11"/>
        <v>1.0958904109589041E-2</v>
      </c>
      <c r="P33" s="995">
        <v>0.6</v>
      </c>
      <c r="Q33" s="995">
        <f t="shared" si="5"/>
        <v>3.2876712328767121E-3</v>
      </c>
      <c r="R33" s="1003">
        <v>0.8</v>
      </c>
      <c r="S33" s="1003">
        <v>0.7</v>
      </c>
      <c r="T33" s="23">
        <v>0.75</v>
      </c>
      <c r="U33" s="23">
        <v>0.6</v>
      </c>
      <c r="V33" s="309">
        <v>0.25</v>
      </c>
      <c r="W33" s="23">
        <v>20</v>
      </c>
      <c r="X33" s="23">
        <v>30</v>
      </c>
      <c r="Y33" s="23">
        <v>5</v>
      </c>
      <c r="Z33" s="23">
        <v>10</v>
      </c>
      <c r="AA33" s="2"/>
      <c r="AB33" s="49" t="s">
        <v>273</v>
      </c>
      <c r="AC33" s="49" t="s">
        <v>274</v>
      </c>
      <c r="AD33" s="49" t="s">
        <v>275</v>
      </c>
      <c r="AE33" s="49" t="s">
        <v>276</v>
      </c>
      <c r="AF33" s="685"/>
      <c r="AG33" s="685"/>
      <c r="AH33" s="685"/>
      <c r="AI33" s="685"/>
      <c r="AN33" s="991"/>
      <c r="AO33" s="991"/>
      <c r="AP33" s="991"/>
      <c r="AQ33" s="991"/>
      <c r="AR33" s="991"/>
      <c r="AS33" s="991"/>
      <c r="AT33" s="991"/>
      <c r="AU33" s="991"/>
    </row>
    <row r="34" spans="2:47" ht="15.75">
      <c r="B34" s="24" t="s">
        <v>620</v>
      </c>
      <c r="C34" s="1000">
        <v>26</v>
      </c>
      <c r="D34" s="256" t="s">
        <v>22</v>
      </c>
      <c r="E34" s="256">
        <v>23</v>
      </c>
      <c r="F34" s="256">
        <v>10.3</v>
      </c>
      <c r="G34" s="995">
        <v>11.6</v>
      </c>
      <c r="H34" s="1029"/>
      <c r="I34" s="1029"/>
      <c r="J34" s="1029"/>
      <c r="K34" s="677">
        <v>2</v>
      </c>
      <c r="L34" s="995">
        <v>1.75</v>
      </c>
      <c r="M34" s="1025">
        <f t="shared" si="12"/>
        <v>9.5890410958904115E-3</v>
      </c>
      <c r="N34" s="1001">
        <v>2</v>
      </c>
      <c r="O34" s="1002">
        <f t="shared" si="11"/>
        <v>1.0958904109589041E-2</v>
      </c>
      <c r="P34" s="995">
        <v>0.6</v>
      </c>
      <c r="Q34" s="995">
        <f t="shared" si="5"/>
        <v>3.2876712328767121E-3</v>
      </c>
      <c r="R34" s="1003">
        <v>0.8</v>
      </c>
      <c r="S34" s="1003">
        <v>0.7</v>
      </c>
      <c r="T34" s="23">
        <v>0.75</v>
      </c>
      <c r="U34" s="23">
        <v>0.6</v>
      </c>
      <c r="V34" s="309">
        <v>0.25</v>
      </c>
      <c r="W34" s="23">
        <v>20</v>
      </c>
      <c r="X34" s="23">
        <v>30</v>
      </c>
      <c r="Y34" s="23">
        <v>5</v>
      </c>
      <c r="Z34" s="23">
        <v>10</v>
      </c>
      <c r="AA34" s="2"/>
      <c r="AB34" s="49" t="s">
        <v>277</v>
      </c>
      <c r="AC34" s="49" t="s">
        <v>278</v>
      </c>
      <c r="AD34" s="49" t="s">
        <v>279</v>
      </c>
      <c r="AE34" s="49" t="s">
        <v>280</v>
      </c>
      <c r="AF34" s="685"/>
      <c r="AG34" s="685"/>
      <c r="AH34" s="685"/>
      <c r="AI34" s="685"/>
      <c r="AN34" s="991"/>
      <c r="AO34" s="991"/>
      <c r="AP34" s="991"/>
      <c r="AQ34" s="991"/>
      <c r="AR34" s="991"/>
      <c r="AS34" s="991"/>
      <c r="AT34" s="991"/>
      <c r="AU34" s="991"/>
    </row>
    <row r="35" spans="2:47" ht="15.75">
      <c r="B35" s="24" t="s">
        <v>622</v>
      </c>
      <c r="C35" s="1000">
        <v>27</v>
      </c>
      <c r="D35" s="256" t="s">
        <v>22</v>
      </c>
      <c r="E35" s="256">
        <v>27.3</v>
      </c>
      <c r="F35" s="256">
        <v>12.6</v>
      </c>
      <c r="G35" s="995">
        <v>12.8</v>
      </c>
      <c r="H35" s="995"/>
      <c r="I35" s="995"/>
      <c r="J35" s="995"/>
      <c r="K35" s="677">
        <v>2</v>
      </c>
      <c r="L35" s="995">
        <v>1.8</v>
      </c>
      <c r="M35" s="1025">
        <f t="shared" si="12"/>
        <v>9.8630136986301367E-3</v>
      </c>
      <c r="N35" s="1027">
        <v>2.1</v>
      </c>
      <c r="O35" s="1002">
        <f t="shared" si="11"/>
        <v>1.1506849315068493E-2</v>
      </c>
      <c r="P35" s="995">
        <v>0.65</v>
      </c>
      <c r="Q35" s="995">
        <f t="shared" si="5"/>
        <v>3.5616438356164386E-3</v>
      </c>
      <c r="R35" s="1003">
        <v>0.8</v>
      </c>
      <c r="S35" s="1003">
        <v>0.7</v>
      </c>
      <c r="T35" s="23">
        <v>0.75</v>
      </c>
      <c r="U35" s="23">
        <v>0.6</v>
      </c>
      <c r="V35" s="309">
        <v>0.25</v>
      </c>
      <c r="W35" s="23">
        <v>20</v>
      </c>
      <c r="X35" s="23">
        <v>30</v>
      </c>
      <c r="Y35" s="23">
        <v>5</v>
      </c>
      <c r="Z35" s="23">
        <v>10</v>
      </c>
      <c r="AA35" s="2"/>
      <c r="AB35" s="1082"/>
      <c r="AC35" s="685"/>
      <c r="AD35" s="685"/>
      <c r="AE35" s="685"/>
      <c r="AF35" s="685"/>
      <c r="AG35" s="685"/>
      <c r="AH35" s="685"/>
      <c r="AI35" s="685"/>
      <c r="AN35" s="991"/>
      <c r="AO35" s="991"/>
      <c r="AP35" s="991"/>
      <c r="AQ35" s="991"/>
      <c r="AR35" s="991"/>
      <c r="AS35" s="991"/>
      <c r="AT35" s="991"/>
      <c r="AU35" s="991"/>
    </row>
    <row r="36" spans="2:47" ht="15.75">
      <c r="B36" s="24" t="s">
        <v>623</v>
      </c>
      <c r="C36" s="1000">
        <v>28</v>
      </c>
      <c r="D36" s="256" t="s">
        <v>22</v>
      </c>
      <c r="E36" s="256">
        <v>24.1</v>
      </c>
      <c r="F36" s="256">
        <v>11.2</v>
      </c>
      <c r="G36" s="995">
        <v>11.6</v>
      </c>
      <c r="H36" s="256"/>
      <c r="I36" s="256"/>
      <c r="J36" s="256"/>
      <c r="K36" s="677">
        <v>2</v>
      </c>
      <c r="L36" s="995">
        <v>1.8</v>
      </c>
      <c r="M36" s="1025">
        <f t="shared" si="12"/>
        <v>9.8630136986301367E-3</v>
      </c>
      <c r="N36" s="1027">
        <v>2.1</v>
      </c>
      <c r="O36" s="1002">
        <f t="shared" si="11"/>
        <v>1.1506849315068493E-2</v>
      </c>
      <c r="P36" s="995">
        <v>0.65</v>
      </c>
      <c r="Q36" s="995">
        <f t="shared" si="5"/>
        <v>3.5616438356164386E-3</v>
      </c>
      <c r="R36" s="1003">
        <v>0.8</v>
      </c>
      <c r="S36" s="1003">
        <v>0.7</v>
      </c>
      <c r="T36" s="23">
        <v>0.75</v>
      </c>
      <c r="U36" s="23">
        <v>0.6</v>
      </c>
      <c r="V36" s="309">
        <v>0.25</v>
      </c>
      <c r="W36" s="23">
        <v>20</v>
      </c>
      <c r="X36" s="23">
        <v>30</v>
      </c>
      <c r="Y36" s="23">
        <v>5</v>
      </c>
      <c r="Z36" s="23">
        <v>10</v>
      </c>
      <c r="AA36" s="2"/>
      <c r="AB36" s="1082"/>
      <c r="AC36" s="685"/>
      <c r="AD36" s="685"/>
      <c r="AE36" s="685"/>
      <c r="AF36" s="685"/>
      <c r="AG36" s="685"/>
      <c r="AH36" s="685"/>
      <c r="AI36" s="685"/>
      <c r="AN36" s="991"/>
      <c r="AO36" s="991"/>
      <c r="AP36" s="991"/>
      <c r="AQ36" s="991"/>
      <c r="AR36" s="991"/>
    </row>
    <row r="37" spans="2:47" ht="15.75">
      <c r="B37" s="24" t="s">
        <v>624</v>
      </c>
      <c r="C37" s="1000">
        <v>29</v>
      </c>
      <c r="D37" s="256" t="s">
        <v>22</v>
      </c>
      <c r="E37" s="256">
        <v>23.1</v>
      </c>
      <c r="F37" s="256">
        <v>10.3</v>
      </c>
      <c r="G37" s="995">
        <v>11.6</v>
      </c>
      <c r="H37" s="995"/>
      <c r="I37" s="995"/>
      <c r="J37" s="995"/>
      <c r="K37" s="677">
        <v>2</v>
      </c>
      <c r="L37" s="995">
        <v>1.8</v>
      </c>
      <c r="M37" s="1025">
        <f t="shared" si="12"/>
        <v>9.8630136986301367E-3</v>
      </c>
      <c r="N37" s="1027">
        <v>2.1</v>
      </c>
      <c r="O37" s="1002">
        <f t="shared" si="11"/>
        <v>1.1506849315068493E-2</v>
      </c>
      <c r="P37" s="995">
        <v>0.65</v>
      </c>
      <c r="Q37" s="995">
        <f t="shared" si="5"/>
        <v>3.5616438356164386E-3</v>
      </c>
      <c r="R37" s="1003">
        <v>0.8</v>
      </c>
      <c r="S37" s="1003">
        <v>0.7</v>
      </c>
      <c r="T37" s="23">
        <v>0.75</v>
      </c>
      <c r="U37" s="23">
        <v>0.6</v>
      </c>
      <c r="V37" s="309">
        <v>0.25</v>
      </c>
      <c r="W37" s="23">
        <v>20</v>
      </c>
      <c r="X37" s="23">
        <v>30</v>
      </c>
      <c r="Y37" s="23">
        <v>5</v>
      </c>
      <c r="Z37" s="23">
        <v>10</v>
      </c>
      <c r="AA37" s="2"/>
      <c r="AN37" s="991"/>
      <c r="AO37" s="991"/>
      <c r="AP37" s="991"/>
      <c r="AQ37" s="991"/>
      <c r="AR37" s="991"/>
    </row>
    <row r="38" spans="2:47" ht="15.75">
      <c r="B38" s="24" t="s">
        <v>625</v>
      </c>
      <c r="C38" s="1000">
        <v>30</v>
      </c>
      <c r="D38" s="256" t="s">
        <v>22</v>
      </c>
      <c r="E38" s="256">
        <v>27.5</v>
      </c>
      <c r="F38" s="256">
        <v>12.8</v>
      </c>
      <c r="G38" s="995">
        <v>13.1</v>
      </c>
      <c r="H38" s="24"/>
      <c r="I38" s="1028"/>
      <c r="J38" s="1028"/>
      <c r="K38" s="677">
        <v>2</v>
      </c>
      <c r="L38" s="995">
        <v>1.85</v>
      </c>
      <c r="M38" s="1025">
        <f t="shared" si="12"/>
        <v>1.0136986301369864E-2</v>
      </c>
      <c r="N38" s="1027">
        <v>2.2000000000000002</v>
      </c>
      <c r="O38" s="1002">
        <f t="shared" si="11"/>
        <v>1.2054794520547946E-2</v>
      </c>
      <c r="P38" s="995">
        <v>0.7</v>
      </c>
      <c r="Q38" s="995">
        <f t="shared" si="5"/>
        <v>3.8356164383561643E-3</v>
      </c>
      <c r="R38" s="1003">
        <v>0.8</v>
      </c>
      <c r="S38" s="1003">
        <v>0.7</v>
      </c>
      <c r="T38" s="23">
        <v>0.75</v>
      </c>
      <c r="U38" s="23">
        <v>0.6</v>
      </c>
      <c r="V38" s="309">
        <v>0.25</v>
      </c>
      <c r="W38" s="23">
        <v>20</v>
      </c>
      <c r="X38" s="23">
        <v>30</v>
      </c>
      <c r="Y38" s="23">
        <v>5</v>
      </c>
      <c r="Z38" s="23">
        <v>10</v>
      </c>
      <c r="AA38" s="2"/>
    </row>
    <row r="39" spans="2:47" ht="15.75">
      <c r="B39" s="24" t="s">
        <v>626</v>
      </c>
      <c r="C39" s="1000">
        <v>31</v>
      </c>
      <c r="D39" s="256" t="s">
        <v>22</v>
      </c>
      <c r="E39" s="256">
        <v>24.2</v>
      </c>
      <c r="F39" s="256">
        <v>11.2</v>
      </c>
      <c r="G39" s="995">
        <v>11.8</v>
      </c>
      <c r="H39" s="928"/>
      <c r="I39" s="928"/>
      <c r="J39" s="995"/>
      <c r="K39" s="677">
        <v>2</v>
      </c>
      <c r="L39" s="995">
        <v>1.85</v>
      </c>
      <c r="M39" s="1025">
        <f t="shared" si="12"/>
        <v>1.0136986301369864E-2</v>
      </c>
      <c r="N39" s="1027">
        <v>2.2000000000000002</v>
      </c>
      <c r="O39" s="1002">
        <f t="shared" si="11"/>
        <v>1.2054794520547946E-2</v>
      </c>
      <c r="P39" s="995">
        <v>0.7</v>
      </c>
      <c r="Q39" s="995">
        <f t="shared" si="5"/>
        <v>3.8356164383561643E-3</v>
      </c>
      <c r="R39" s="1003">
        <v>0.8</v>
      </c>
      <c r="S39" s="1003">
        <v>0.7</v>
      </c>
      <c r="T39" s="23">
        <v>0.75</v>
      </c>
      <c r="U39" s="23">
        <v>0.6</v>
      </c>
      <c r="V39" s="309">
        <v>0.25</v>
      </c>
      <c r="W39" s="23">
        <v>20</v>
      </c>
      <c r="X39" s="23">
        <v>30</v>
      </c>
      <c r="Y39" s="23">
        <v>5</v>
      </c>
      <c r="Z39" s="23">
        <v>10</v>
      </c>
      <c r="AA39" s="2"/>
    </row>
    <row r="40" spans="2:47" ht="15.75">
      <c r="B40" s="24" t="s">
        <v>627</v>
      </c>
      <c r="C40" s="1000">
        <v>32</v>
      </c>
      <c r="D40" s="256" t="s">
        <v>22</v>
      </c>
      <c r="E40" s="256">
        <v>23.2</v>
      </c>
      <c r="F40" s="256">
        <v>10.3</v>
      </c>
      <c r="G40" s="995">
        <v>11.8</v>
      </c>
      <c r="H40" s="928"/>
      <c r="I40" s="928"/>
      <c r="J40" s="995"/>
      <c r="K40" s="677">
        <v>2</v>
      </c>
      <c r="L40" s="995">
        <v>1.85</v>
      </c>
      <c r="M40" s="1025">
        <f t="shared" si="12"/>
        <v>1.0136986301369864E-2</v>
      </c>
      <c r="N40" s="1027">
        <v>2.2000000000000002</v>
      </c>
      <c r="O40" s="1002">
        <f t="shared" si="11"/>
        <v>1.2054794520547946E-2</v>
      </c>
      <c r="P40" s="995">
        <v>0.7</v>
      </c>
      <c r="Q40" s="995">
        <f t="shared" si="5"/>
        <v>3.8356164383561643E-3</v>
      </c>
      <c r="R40" s="1003">
        <v>0.8</v>
      </c>
      <c r="S40" s="1003">
        <v>0.7</v>
      </c>
      <c r="T40" s="23">
        <v>0.75</v>
      </c>
      <c r="U40" s="23">
        <v>0.6</v>
      </c>
      <c r="V40" s="309">
        <v>0.25</v>
      </c>
      <c r="W40" s="23">
        <v>20</v>
      </c>
      <c r="X40" s="23">
        <v>30</v>
      </c>
      <c r="Y40" s="23">
        <v>5</v>
      </c>
      <c r="Z40" s="23">
        <v>10</v>
      </c>
      <c r="AA40" s="2"/>
    </row>
    <row r="41" spans="2:47" ht="15.75">
      <c r="B41" s="24" t="s">
        <v>628</v>
      </c>
      <c r="C41" s="1000">
        <v>33</v>
      </c>
      <c r="D41" s="256" t="s">
        <v>22</v>
      </c>
      <c r="E41" s="256">
        <v>39.200000000000003</v>
      </c>
      <c r="F41" s="256">
        <v>17.2</v>
      </c>
      <c r="G41" s="995">
        <v>19.899999999999999</v>
      </c>
      <c r="H41" s="928"/>
      <c r="I41" s="928"/>
      <c r="J41" s="995"/>
      <c r="K41" s="677">
        <v>3</v>
      </c>
      <c r="L41" s="995">
        <v>2.4</v>
      </c>
      <c r="M41" s="1025">
        <f t="shared" si="12"/>
        <v>1.3150684931506848E-2</v>
      </c>
      <c r="N41" s="1001">
        <v>3</v>
      </c>
      <c r="O41" s="1002">
        <f t="shared" si="11"/>
        <v>1.643835616438356E-2</v>
      </c>
      <c r="P41" s="995">
        <v>1.1000000000000001</v>
      </c>
      <c r="Q41" s="995">
        <f t="shared" si="5"/>
        <v>6.0273972602739728E-3</v>
      </c>
      <c r="R41" s="1003">
        <v>0.8</v>
      </c>
      <c r="S41" s="1003">
        <v>0.7</v>
      </c>
      <c r="T41" s="23">
        <v>0.75</v>
      </c>
      <c r="U41" s="23">
        <v>0.6</v>
      </c>
      <c r="V41" s="309">
        <v>0.25</v>
      </c>
      <c r="W41" s="23">
        <v>20</v>
      </c>
      <c r="X41" s="23">
        <v>30</v>
      </c>
      <c r="Y41" s="23">
        <v>5</v>
      </c>
      <c r="Z41" s="23">
        <v>10</v>
      </c>
      <c r="AA41" s="2"/>
    </row>
    <row r="42" spans="2:47" ht="15.75">
      <c r="B42" s="24" t="s">
        <v>629</v>
      </c>
      <c r="C42" s="1000">
        <v>34</v>
      </c>
      <c r="D42" s="256" t="s">
        <v>22</v>
      </c>
      <c r="E42" s="256">
        <v>35.1</v>
      </c>
      <c r="F42" s="256">
        <v>15.3</v>
      </c>
      <c r="G42" s="995">
        <v>18.3</v>
      </c>
      <c r="H42" s="928"/>
      <c r="I42" s="928"/>
      <c r="J42" s="995"/>
      <c r="K42" s="677">
        <v>3</v>
      </c>
      <c r="L42" s="995">
        <v>2.4</v>
      </c>
      <c r="M42" s="1025">
        <f t="shared" si="12"/>
        <v>1.3150684931506848E-2</v>
      </c>
      <c r="N42" s="1001">
        <v>3</v>
      </c>
      <c r="O42" s="1002">
        <f t="shared" si="11"/>
        <v>1.643835616438356E-2</v>
      </c>
      <c r="P42" s="995">
        <v>1.1000000000000001</v>
      </c>
      <c r="Q42" s="995">
        <f t="shared" si="5"/>
        <v>6.0273972602739728E-3</v>
      </c>
      <c r="R42" s="1003">
        <v>0.8</v>
      </c>
      <c r="S42" s="1003">
        <v>0.7</v>
      </c>
      <c r="T42" s="23">
        <v>0.75</v>
      </c>
      <c r="U42" s="23">
        <v>0.6</v>
      </c>
      <c r="V42" s="309">
        <v>0.25</v>
      </c>
      <c r="W42" s="23">
        <v>20</v>
      </c>
      <c r="X42" s="23">
        <v>30</v>
      </c>
      <c r="Y42" s="23">
        <v>5</v>
      </c>
      <c r="Z42" s="23">
        <v>10</v>
      </c>
      <c r="AA42" s="2"/>
    </row>
    <row r="43" spans="2:47" ht="16.5" customHeight="1">
      <c r="B43" s="24" t="s">
        <v>630</v>
      </c>
      <c r="C43" s="1000">
        <v>35</v>
      </c>
      <c r="D43" s="256" t="s">
        <v>22</v>
      </c>
      <c r="E43" s="256">
        <v>33.5</v>
      </c>
      <c r="F43" s="256">
        <v>14</v>
      </c>
      <c r="G43" s="995">
        <v>18.3</v>
      </c>
      <c r="H43" s="928"/>
      <c r="I43" s="928"/>
      <c r="J43" s="995"/>
      <c r="K43" s="677">
        <v>3</v>
      </c>
      <c r="L43" s="995">
        <v>2.4</v>
      </c>
      <c r="M43" s="1025">
        <f t="shared" si="12"/>
        <v>1.3150684931506848E-2</v>
      </c>
      <c r="N43" s="1001">
        <v>3</v>
      </c>
      <c r="O43" s="1002">
        <f t="shared" si="11"/>
        <v>1.643835616438356E-2</v>
      </c>
      <c r="P43" s="995">
        <v>1.1000000000000001</v>
      </c>
      <c r="Q43" s="995">
        <f t="shared" si="5"/>
        <v>6.0273972602739728E-3</v>
      </c>
      <c r="R43" s="1003">
        <v>0.8</v>
      </c>
      <c r="S43" s="1003">
        <v>0.7</v>
      </c>
      <c r="T43" s="23">
        <v>0.75</v>
      </c>
      <c r="U43" s="23">
        <v>0.6</v>
      </c>
      <c r="V43" s="309">
        <v>0.25</v>
      </c>
      <c r="W43" s="23">
        <v>20</v>
      </c>
      <c r="X43" s="23">
        <v>30</v>
      </c>
      <c r="Y43" s="23">
        <v>5</v>
      </c>
      <c r="Z43" s="23">
        <v>10</v>
      </c>
      <c r="AA43" s="2"/>
      <c r="AB43" s="1082"/>
      <c r="AC43" s="685"/>
      <c r="AD43" s="685"/>
      <c r="AE43" s="685"/>
      <c r="AF43" s="685"/>
      <c r="AG43" s="685"/>
      <c r="AH43" s="685"/>
      <c r="AI43" s="685"/>
    </row>
    <row r="44" spans="2:47" ht="15.75">
      <c r="B44" s="24" t="s">
        <v>631</v>
      </c>
      <c r="C44" s="1000">
        <v>36</v>
      </c>
      <c r="D44" s="256" t="s">
        <v>22</v>
      </c>
      <c r="E44" s="256">
        <v>41.1</v>
      </c>
      <c r="F44" s="256">
        <v>17.899999999999999</v>
      </c>
      <c r="G44" s="995">
        <v>21.1</v>
      </c>
      <c r="H44" s="928"/>
      <c r="I44" s="928"/>
      <c r="J44" s="995"/>
      <c r="K44" s="677">
        <v>3</v>
      </c>
      <c r="L44" s="995">
        <v>2.6</v>
      </c>
      <c r="M44" s="1025">
        <f t="shared" si="12"/>
        <v>1.4246575342465755E-2</v>
      </c>
      <c r="N44" s="1027">
        <v>3.25</v>
      </c>
      <c r="O44" s="1002">
        <f t="shared" si="1"/>
        <v>1.7808219178082191E-2</v>
      </c>
      <c r="P44" s="995">
        <v>1.2</v>
      </c>
      <c r="Q44" s="995">
        <f t="shared" si="5"/>
        <v>6.5753424657534242E-3</v>
      </c>
      <c r="R44" s="1003">
        <v>0.8</v>
      </c>
      <c r="S44" s="1003">
        <v>0.7</v>
      </c>
      <c r="T44" s="23">
        <v>0.75</v>
      </c>
      <c r="U44" s="23">
        <v>0.6</v>
      </c>
      <c r="V44" s="309">
        <v>0.25</v>
      </c>
      <c r="W44" s="23">
        <v>20</v>
      </c>
      <c r="X44" s="23">
        <v>30</v>
      </c>
      <c r="Y44" s="23">
        <v>5</v>
      </c>
      <c r="Z44" s="23">
        <v>10</v>
      </c>
      <c r="AA44" s="2"/>
      <c r="AB44" s="1082"/>
      <c r="AC44" s="685"/>
      <c r="AD44" s="685"/>
      <c r="AE44" s="685"/>
      <c r="AF44" s="685"/>
      <c r="AG44" s="685"/>
      <c r="AH44" s="685"/>
      <c r="AI44" s="685"/>
    </row>
    <row r="45" spans="2:47" ht="15.75">
      <c r="B45" s="24" t="s">
        <v>632</v>
      </c>
      <c r="C45" s="1000">
        <v>37</v>
      </c>
      <c r="D45" s="256" t="s">
        <v>22</v>
      </c>
      <c r="E45" s="256">
        <v>36.799999999999997</v>
      </c>
      <c r="F45" s="256">
        <v>16</v>
      </c>
      <c r="G45" s="995">
        <v>19.5</v>
      </c>
      <c r="H45" s="928"/>
      <c r="I45" s="928"/>
      <c r="J45" s="995"/>
      <c r="K45" s="677">
        <v>3</v>
      </c>
      <c r="L45" s="995">
        <v>2.6</v>
      </c>
      <c r="M45" s="1025">
        <f t="shared" si="12"/>
        <v>1.4246575342465755E-2</v>
      </c>
      <c r="N45" s="1027">
        <v>3.25</v>
      </c>
      <c r="O45" s="1002">
        <f>N45/182.5</f>
        <v>1.7808219178082191E-2</v>
      </c>
      <c r="P45" s="995">
        <v>1.2</v>
      </c>
      <c r="Q45" s="995">
        <f t="shared" si="5"/>
        <v>6.5753424657534242E-3</v>
      </c>
      <c r="R45" s="1003">
        <v>0.8</v>
      </c>
      <c r="S45" s="1003">
        <v>0.7</v>
      </c>
      <c r="T45" s="23">
        <v>0.75</v>
      </c>
      <c r="U45" s="23">
        <v>0.6</v>
      </c>
      <c r="V45" s="309">
        <v>0.25</v>
      </c>
      <c r="W45" s="23">
        <v>20</v>
      </c>
      <c r="X45" s="23">
        <v>30</v>
      </c>
      <c r="Y45" s="23">
        <v>5</v>
      </c>
      <c r="Z45" s="23">
        <v>10</v>
      </c>
      <c r="AA45" s="2"/>
      <c r="AB45" s="1082"/>
      <c r="AC45" s="685"/>
      <c r="AD45" s="685"/>
      <c r="AE45" s="685"/>
      <c r="AF45" s="685"/>
      <c r="AG45" s="685"/>
      <c r="AH45" s="685"/>
      <c r="AI45" s="685"/>
    </row>
    <row r="46" spans="2:47" ht="15.75">
      <c r="B46" s="24" t="s">
        <v>633</v>
      </c>
      <c r="C46" s="1000">
        <v>38</v>
      </c>
      <c r="D46" s="256" t="s">
        <v>22</v>
      </c>
      <c r="E46" s="256">
        <v>35</v>
      </c>
      <c r="F46" s="256">
        <v>14.7</v>
      </c>
      <c r="G46" s="995">
        <v>19.5</v>
      </c>
      <c r="H46" s="928"/>
      <c r="I46" s="928"/>
      <c r="J46" s="995"/>
      <c r="K46" s="677">
        <v>3</v>
      </c>
      <c r="L46" s="995">
        <v>2.6</v>
      </c>
      <c r="M46" s="1025">
        <f t="shared" si="12"/>
        <v>1.4246575342465755E-2</v>
      </c>
      <c r="N46" s="1027">
        <v>3.25</v>
      </c>
      <c r="O46" s="1002">
        <f>N46/182.5</f>
        <v>1.7808219178082191E-2</v>
      </c>
      <c r="P46" s="995">
        <v>1.2</v>
      </c>
      <c r="Q46" s="995">
        <f t="shared" si="5"/>
        <v>6.5753424657534242E-3</v>
      </c>
      <c r="R46" s="1003">
        <v>0.8</v>
      </c>
      <c r="S46" s="1003">
        <v>0.7</v>
      </c>
      <c r="T46" s="23">
        <v>0.75</v>
      </c>
      <c r="U46" s="23">
        <v>0.6</v>
      </c>
      <c r="V46" s="309">
        <v>0.25</v>
      </c>
      <c r="W46" s="23">
        <v>20</v>
      </c>
      <c r="X46" s="23">
        <v>30</v>
      </c>
      <c r="Y46" s="23">
        <v>5</v>
      </c>
      <c r="Z46" s="23">
        <v>10</v>
      </c>
      <c r="AA46" s="2"/>
      <c r="AB46" s="1082"/>
      <c r="AC46" s="685"/>
      <c r="AD46" s="685"/>
      <c r="AE46" s="685"/>
      <c r="AF46" s="685"/>
      <c r="AG46" s="685"/>
      <c r="AH46" s="685"/>
      <c r="AI46" s="685"/>
    </row>
    <row r="47" spans="2:47" ht="15.75">
      <c r="B47" s="24" t="s">
        <v>634</v>
      </c>
      <c r="C47" s="1000">
        <v>39</v>
      </c>
      <c r="D47" s="256" t="s">
        <v>22</v>
      </c>
      <c r="E47" s="256">
        <v>42.9</v>
      </c>
      <c r="F47" s="256">
        <v>18.600000000000001</v>
      </c>
      <c r="G47" s="995">
        <v>21.3</v>
      </c>
      <c r="H47" s="928"/>
      <c r="I47" s="928"/>
      <c r="J47" s="995"/>
      <c r="K47" s="677">
        <v>3</v>
      </c>
      <c r="L47" s="995">
        <v>2.75</v>
      </c>
      <c r="M47" s="1025">
        <f t="shared" si="12"/>
        <v>1.5068493150684932E-2</v>
      </c>
      <c r="N47" s="1027">
        <v>3.5</v>
      </c>
      <c r="O47" s="1002">
        <f>N47/182.5</f>
        <v>1.9178082191780823E-2</v>
      </c>
      <c r="P47" s="995">
        <v>1.3</v>
      </c>
      <c r="Q47" s="995">
        <f t="shared" si="5"/>
        <v>7.1232876712328773E-3</v>
      </c>
      <c r="R47" s="1003">
        <v>0.8</v>
      </c>
      <c r="S47" s="1003">
        <v>0.7</v>
      </c>
      <c r="T47" s="23">
        <v>0.75</v>
      </c>
      <c r="U47" s="23">
        <v>0.6</v>
      </c>
      <c r="V47" s="309">
        <v>0.25</v>
      </c>
      <c r="W47" s="23">
        <v>20</v>
      </c>
      <c r="X47" s="23">
        <v>30</v>
      </c>
      <c r="Y47" s="23">
        <v>5</v>
      </c>
      <c r="Z47" s="23">
        <v>10</v>
      </c>
      <c r="AA47" s="2"/>
      <c r="AB47" s="1082"/>
      <c r="AC47" s="685"/>
      <c r="AD47" s="685"/>
      <c r="AE47" s="685"/>
      <c r="AF47" s="685"/>
      <c r="AG47" s="685"/>
      <c r="AH47" s="685"/>
      <c r="AI47" s="685"/>
    </row>
    <row r="48" spans="2:47" ht="15.75">
      <c r="B48" s="24" t="s">
        <v>635</v>
      </c>
      <c r="C48" s="1000">
        <v>40</v>
      </c>
      <c r="D48" s="256" t="s">
        <v>22</v>
      </c>
      <c r="E48" s="256">
        <v>38.4</v>
      </c>
      <c r="F48" s="256">
        <v>16.7</v>
      </c>
      <c r="G48" s="995">
        <v>20.7</v>
      </c>
      <c r="H48" s="928"/>
      <c r="I48" s="928"/>
      <c r="J48" s="995"/>
      <c r="K48" s="677">
        <v>3</v>
      </c>
      <c r="L48" s="995">
        <v>2.75</v>
      </c>
      <c r="M48" s="1025">
        <f t="shared" si="12"/>
        <v>1.5068493150684932E-2</v>
      </c>
      <c r="N48" s="1027">
        <v>3.5</v>
      </c>
      <c r="O48" s="1002">
        <f>N48/182.5</f>
        <v>1.9178082191780823E-2</v>
      </c>
      <c r="P48" s="995">
        <v>1.3</v>
      </c>
      <c r="Q48" s="995">
        <f t="shared" si="5"/>
        <v>7.1232876712328773E-3</v>
      </c>
      <c r="R48" s="1003">
        <v>0.8</v>
      </c>
      <c r="S48" s="1003">
        <v>0.7</v>
      </c>
      <c r="T48" s="23">
        <v>0.75</v>
      </c>
      <c r="U48" s="23">
        <v>0.6</v>
      </c>
      <c r="V48" s="309">
        <v>0.25</v>
      </c>
      <c r="W48" s="23">
        <v>20</v>
      </c>
      <c r="X48" s="23">
        <v>30</v>
      </c>
      <c r="Y48" s="23">
        <v>5</v>
      </c>
      <c r="Z48" s="23">
        <v>10</v>
      </c>
      <c r="AA48" s="2"/>
      <c r="AB48" s="1082"/>
      <c r="AC48" s="685"/>
      <c r="AD48" s="685"/>
      <c r="AE48" s="685"/>
      <c r="AF48" s="685"/>
      <c r="AG48" s="685"/>
      <c r="AH48" s="685"/>
      <c r="AI48" s="685"/>
    </row>
    <row r="49" spans="2:35" ht="15.75">
      <c r="B49" s="24" t="s">
        <v>636</v>
      </c>
      <c r="C49" s="1000">
        <v>41</v>
      </c>
      <c r="D49" s="256" t="s">
        <v>22</v>
      </c>
      <c r="E49" s="256">
        <v>36.6</v>
      </c>
      <c r="F49" s="256">
        <v>15.1</v>
      </c>
      <c r="G49" s="995">
        <v>20.7</v>
      </c>
      <c r="H49" s="928"/>
      <c r="I49" s="928"/>
      <c r="J49" s="995"/>
      <c r="K49" s="677">
        <v>3</v>
      </c>
      <c r="L49" s="995">
        <v>2.75</v>
      </c>
      <c r="M49" s="1025">
        <f t="shared" si="12"/>
        <v>1.5068493150684932E-2</v>
      </c>
      <c r="N49" s="1027">
        <v>3.5</v>
      </c>
      <c r="O49" s="1002">
        <f>N49/182.5</f>
        <v>1.9178082191780823E-2</v>
      </c>
      <c r="P49" s="995">
        <v>1.3</v>
      </c>
      <c r="Q49" s="995">
        <f t="shared" si="5"/>
        <v>7.1232876712328773E-3</v>
      </c>
      <c r="R49" s="1003">
        <v>0.8</v>
      </c>
      <c r="S49" s="1003">
        <v>0.7</v>
      </c>
      <c r="T49" s="23">
        <v>0.75</v>
      </c>
      <c r="U49" s="23">
        <v>0.6</v>
      </c>
      <c r="V49" s="309">
        <v>0.25</v>
      </c>
      <c r="W49" s="23">
        <v>20</v>
      </c>
      <c r="X49" s="23">
        <v>30</v>
      </c>
      <c r="Y49" s="23">
        <v>5</v>
      </c>
      <c r="Z49" s="23">
        <v>10</v>
      </c>
      <c r="AA49" s="2"/>
      <c r="AB49" s="1082"/>
      <c r="AC49" s="685"/>
      <c r="AD49" s="685"/>
      <c r="AE49" s="685"/>
      <c r="AF49" s="685"/>
      <c r="AG49" s="685"/>
      <c r="AH49" s="685"/>
      <c r="AI49" s="685"/>
    </row>
    <row r="50" spans="2:35" ht="15.75">
      <c r="B50" s="24" t="s">
        <v>637</v>
      </c>
      <c r="C50" s="1000">
        <v>42</v>
      </c>
      <c r="D50" s="256" t="s">
        <v>22</v>
      </c>
      <c r="E50" s="256">
        <v>3.8</v>
      </c>
      <c r="F50" s="256">
        <v>1.4</v>
      </c>
      <c r="G50" s="995">
        <v>2.2999999999999998</v>
      </c>
      <c r="H50" s="928"/>
      <c r="I50" s="928"/>
      <c r="J50" s="995"/>
      <c r="K50" s="995">
        <v>0.2</v>
      </c>
      <c r="L50" s="995">
        <v>0.185</v>
      </c>
      <c r="M50" s="1002">
        <f>$L50/182.5</f>
        <v>1.0136986301369864E-3</v>
      </c>
      <c r="N50" s="1027">
        <v>0.3</v>
      </c>
      <c r="O50" s="1002">
        <f t="shared" ref="O50:O55" si="13">N50/182.5</f>
        <v>1.643835616438356E-3</v>
      </c>
      <c r="P50" s="995">
        <v>0.15</v>
      </c>
      <c r="Q50" s="995">
        <f t="shared" si="5"/>
        <v>8.2191780821917802E-4</v>
      </c>
      <c r="R50" s="1003">
        <v>0.8</v>
      </c>
      <c r="S50" s="1003">
        <v>0.7</v>
      </c>
      <c r="T50" s="23">
        <v>0.75</v>
      </c>
      <c r="U50" s="23">
        <v>0.6</v>
      </c>
      <c r="V50" s="309">
        <v>0.25</v>
      </c>
      <c r="W50" s="23">
        <v>20</v>
      </c>
      <c r="X50" s="23">
        <v>30</v>
      </c>
      <c r="Y50" s="23">
        <v>5</v>
      </c>
      <c r="Z50" s="23">
        <v>10</v>
      </c>
      <c r="AA50" s="2"/>
      <c r="AB50" s="1082"/>
      <c r="AC50" s="685"/>
      <c r="AD50" s="685"/>
      <c r="AE50" s="685"/>
      <c r="AF50" s="685"/>
      <c r="AG50" s="685"/>
      <c r="AH50" s="685"/>
      <c r="AI50" s="685"/>
    </row>
    <row r="51" spans="2:35" ht="15.75" customHeight="1">
      <c r="B51" s="24" t="s">
        <v>638</v>
      </c>
      <c r="C51" s="1000">
        <v>43</v>
      </c>
      <c r="D51" s="256" t="s">
        <v>22</v>
      </c>
      <c r="E51" s="256">
        <v>3.6</v>
      </c>
      <c r="F51" s="256">
        <v>1.4</v>
      </c>
      <c r="G51" s="995">
        <v>2.2000000000000002</v>
      </c>
      <c r="H51" s="928"/>
      <c r="I51" s="928"/>
      <c r="J51" s="995"/>
      <c r="K51" s="995">
        <v>0.2</v>
      </c>
      <c r="L51" s="995">
        <v>0.185</v>
      </c>
      <c r="M51" s="1002">
        <f t="shared" ref="M51:M55" si="14">$L51/182.5</f>
        <v>1.0136986301369864E-3</v>
      </c>
      <c r="N51" s="1027">
        <v>0.3</v>
      </c>
      <c r="O51" s="1002">
        <f t="shared" si="13"/>
        <v>1.643835616438356E-3</v>
      </c>
      <c r="P51" s="995">
        <v>0.15</v>
      </c>
      <c r="Q51" s="995">
        <f t="shared" si="5"/>
        <v>8.2191780821917802E-4</v>
      </c>
      <c r="R51" s="1003">
        <v>0.8</v>
      </c>
      <c r="S51" s="1003">
        <v>0.7</v>
      </c>
      <c r="T51" s="23">
        <v>0.75</v>
      </c>
      <c r="U51" s="23">
        <v>0.6</v>
      </c>
      <c r="V51" s="309">
        <v>0.25</v>
      </c>
      <c r="W51" s="23">
        <v>20</v>
      </c>
      <c r="X51" s="23">
        <v>30</v>
      </c>
      <c r="Y51" s="23">
        <v>5</v>
      </c>
      <c r="Z51" s="23">
        <v>10</v>
      </c>
      <c r="AA51" s="2"/>
      <c r="AB51" s="1082"/>
      <c r="AC51" s="685"/>
      <c r="AD51" s="685"/>
      <c r="AE51" s="685"/>
      <c r="AF51" s="685"/>
      <c r="AG51" s="685"/>
      <c r="AH51" s="685"/>
      <c r="AI51" s="685"/>
    </row>
    <row r="52" spans="2:35" ht="15.75" customHeight="1">
      <c r="B52" s="24" t="s">
        <v>639</v>
      </c>
      <c r="C52" s="1000">
        <v>44</v>
      </c>
      <c r="D52" s="256" t="s">
        <v>22</v>
      </c>
      <c r="E52" s="256">
        <v>3.4</v>
      </c>
      <c r="F52" s="256">
        <v>1.1000000000000001</v>
      </c>
      <c r="G52" s="995">
        <v>2.2000000000000002</v>
      </c>
      <c r="H52" s="928"/>
      <c r="I52" s="928"/>
      <c r="J52" s="995"/>
      <c r="K52" s="995">
        <v>0.2</v>
      </c>
      <c r="L52" s="995">
        <v>0.185</v>
      </c>
      <c r="M52" s="1002">
        <f t="shared" si="14"/>
        <v>1.0136986301369864E-3</v>
      </c>
      <c r="N52" s="1027">
        <v>0.3</v>
      </c>
      <c r="O52" s="1002">
        <f t="shared" si="13"/>
        <v>1.643835616438356E-3</v>
      </c>
      <c r="P52" s="995">
        <v>0.15</v>
      </c>
      <c r="Q52" s="995">
        <f t="shared" si="5"/>
        <v>8.2191780821917802E-4</v>
      </c>
      <c r="R52" s="1003">
        <v>0.8</v>
      </c>
      <c r="S52" s="1003">
        <v>0.7</v>
      </c>
      <c r="T52" s="23">
        <v>0.75</v>
      </c>
      <c r="U52" s="23">
        <v>0.6</v>
      </c>
      <c r="V52" s="309">
        <v>0.25</v>
      </c>
      <c r="W52" s="23">
        <v>20</v>
      </c>
      <c r="X52" s="23">
        <v>30</v>
      </c>
      <c r="Y52" s="23">
        <v>5</v>
      </c>
      <c r="Z52" s="23">
        <v>10</v>
      </c>
      <c r="AA52" s="2"/>
      <c r="AB52" s="1082"/>
      <c r="AC52" s="685"/>
      <c r="AD52" s="685"/>
      <c r="AE52" s="685"/>
      <c r="AF52" s="685"/>
      <c r="AG52" s="685"/>
      <c r="AH52" s="685"/>
      <c r="AI52" s="685"/>
    </row>
    <row r="53" spans="2:35" ht="15.75">
      <c r="B53" s="24" t="s">
        <v>640</v>
      </c>
      <c r="C53" s="1000">
        <v>45</v>
      </c>
      <c r="D53" s="256" t="s">
        <v>22</v>
      </c>
      <c r="E53" s="256">
        <v>4.2</v>
      </c>
      <c r="F53" s="256">
        <v>1.6</v>
      </c>
      <c r="G53" s="995">
        <v>2.5</v>
      </c>
      <c r="H53" s="928"/>
      <c r="I53" s="928"/>
      <c r="J53" s="995"/>
      <c r="K53" s="995">
        <v>0.2</v>
      </c>
      <c r="L53" s="995">
        <v>0.185</v>
      </c>
      <c r="M53" s="1002">
        <f t="shared" si="14"/>
        <v>1.0136986301369864E-3</v>
      </c>
      <c r="N53" s="1027">
        <v>0.3</v>
      </c>
      <c r="O53" s="1002">
        <f t="shared" si="13"/>
        <v>1.643835616438356E-3</v>
      </c>
      <c r="P53" s="995">
        <v>0.15</v>
      </c>
      <c r="Q53" s="995">
        <f t="shared" si="5"/>
        <v>8.2191780821917802E-4</v>
      </c>
      <c r="R53" s="1003">
        <v>0.8</v>
      </c>
      <c r="S53" s="1003">
        <v>0.7</v>
      </c>
      <c r="T53" s="23">
        <v>0.75</v>
      </c>
      <c r="U53" s="23">
        <v>0.6</v>
      </c>
      <c r="V53" s="309">
        <v>0.25</v>
      </c>
      <c r="W53" s="23">
        <v>20</v>
      </c>
      <c r="X53" s="23">
        <v>30</v>
      </c>
      <c r="Y53" s="23">
        <v>5</v>
      </c>
      <c r="Z53" s="23">
        <v>10</v>
      </c>
      <c r="AA53" s="2"/>
      <c r="AB53" s="1082"/>
      <c r="AC53" s="685"/>
      <c r="AD53" s="685"/>
      <c r="AE53" s="685"/>
      <c r="AF53" s="685"/>
      <c r="AG53" s="685"/>
      <c r="AH53" s="685"/>
      <c r="AI53" s="685"/>
    </row>
    <row r="54" spans="2:35" ht="16.5" customHeight="1">
      <c r="B54" s="24" t="s">
        <v>641</v>
      </c>
      <c r="C54" s="1000">
        <v>46</v>
      </c>
      <c r="D54" s="256" t="s">
        <v>22</v>
      </c>
      <c r="E54" s="256">
        <v>3.8</v>
      </c>
      <c r="F54" s="256">
        <v>1.4</v>
      </c>
      <c r="G54" s="995">
        <v>2.4</v>
      </c>
      <c r="H54" s="928"/>
      <c r="I54" s="928"/>
      <c r="J54" s="995"/>
      <c r="K54" s="995">
        <v>0.2</v>
      </c>
      <c r="L54" s="995">
        <v>0.185</v>
      </c>
      <c r="M54" s="1002">
        <f t="shared" si="14"/>
        <v>1.0136986301369864E-3</v>
      </c>
      <c r="N54" s="1027">
        <v>0.3</v>
      </c>
      <c r="O54" s="1002">
        <f t="shared" si="13"/>
        <v>1.643835616438356E-3</v>
      </c>
      <c r="P54" s="995">
        <v>0.15</v>
      </c>
      <c r="Q54" s="995">
        <f t="shared" si="5"/>
        <v>8.2191780821917802E-4</v>
      </c>
      <c r="R54" s="1003">
        <v>0.8</v>
      </c>
      <c r="S54" s="1003">
        <v>0.7</v>
      </c>
      <c r="T54" s="23">
        <v>0.75</v>
      </c>
      <c r="U54" s="23">
        <v>0.6</v>
      </c>
      <c r="V54" s="309">
        <v>0.25</v>
      </c>
      <c r="W54" s="23">
        <v>20</v>
      </c>
      <c r="X54" s="23">
        <v>30</v>
      </c>
      <c r="Y54" s="23">
        <v>5</v>
      </c>
      <c r="Z54" s="23">
        <v>10</v>
      </c>
      <c r="AA54" s="246"/>
      <c r="AB54" s="1085"/>
      <c r="AC54" s="1085"/>
      <c r="AD54" s="685"/>
      <c r="AE54" s="685"/>
      <c r="AF54" s="685"/>
      <c r="AG54" s="685"/>
      <c r="AH54" s="685"/>
      <c r="AI54" s="685"/>
    </row>
    <row r="55" spans="2:35" ht="15" customHeight="1">
      <c r="B55" s="24" t="s">
        <v>642</v>
      </c>
      <c r="C55" s="1000">
        <v>47</v>
      </c>
      <c r="D55" s="256" t="s">
        <v>22</v>
      </c>
      <c r="E55" s="256">
        <v>3.6</v>
      </c>
      <c r="F55" s="256">
        <v>1.4</v>
      </c>
      <c r="G55" s="995">
        <v>2.4</v>
      </c>
      <c r="H55" s="928"/>
      <c r="I55" s="928"/>
      <c r="J55" s="995"/>
      <c r="K55" s="995">
        <v>0.2</v>
      </c>
      <c r="L55" s="995">
        <v>0.185</v>
      </c>
      <c r="M55" s="1002">
        <f t="shared" si="14"/>
        <v>1.0136986301369864E-3</v>
      </c>
      <c r="N55" s="1027">
        <v>0.3</v>
      </c>
      <c r="O55" s="1002">
        <f t="shared" si="13"/>
        <v>1.643835616438356E-3</v>
      </c>
      <c r="P55" s="995">
        <v>0.15</v>
      </c>
      <c r="Q55" s="995">
        <f t="shared" si="5"/>
        <v>8.2191780821917802E-4</v>
      </c>
      <c r="R55" s="1003">
        <v>0.8</v>
      </c>
      <c r="S55" s="1003">
        <v>0.7</v>
      </c>
      <c r="T55" s="23">
        <v>0.75</v>
      </c>
      <c r="U55" s="23">
        <v>0.6</v>
      </c>
      <c r="V55" s="309">
        <v>0.25</v>
      </c>
      <c r="W55" s="23">
        <v>20</v>
      </c>
      <c r="X55" s="23">
        <v>30</v>
      </c>
      <c r="Y55" s="23">
        <v>5</v>
      </c>
      <c r="Z55" s="23">
        <v>10</v>
      </c>
      <c r="AA55" s="246"/>
      <c r="AB55" s="1085"/>
      <c r="AC55" s="1085"/>
      <c r="AD55" s="685"/>
      <c r="AE55" s="685"/>
      <c r="AF55" s="685"/>
      <c r="AG55" s="685"/>
      <c r="AH55" s="685"/>
      <c r="AI55" s="685"/>
    </row>
    <row r="56" spans="2:35" ht="15.75">
      <c r="B56" s="24" t="s">
        <v>643</v>
      </c>
      <c r="C56" s="1000">
        <v>48</v>
      </c>
      <c r="D56" s="256" t="s">
        <v>22</v>
      </c>
      <c r="E56" s="256">
        <v>10.8</v>
      </c>
      <c r="F56" s="256">
        <v>5.5</v>
      </c>
      <c r="G56" s="995">
        <v>4.9000000000000004</v>
      </c>
      <c r="H56" s="928"/>
      <c r="I56" s="928"/>
      <c r="J56" s="995"/>
      <c r="K56" s="995">
        <v>0.5</v>
      </c>
      <c r="L56" s="995">
        <v>0.69</v>
      </c>
      <c r="M56" s="1002">
        <f>L56/182.5</f>
        <v>3.7808219178082189E-3</v>
      </c>
      <c r="N56" s="1027">
        <v>0.9</v>
      </c>
      <c r="O56" s="1002">
        <f t="shared" ref="O56:O101" si="15">N56/182.5</f>
        <v>4.9315068493150684E-3</v>
      </c>
      <c r="P56" s="995">
        <v>0.3</v>
      </c>
      <c r="Q56" s="995">
        <f t="shared" ref="Q56:Q102" si="16">P56/182.5</f>
        <v>1.643835616438356E-3</v>
      </c>
      <c r="R56" s="1003">
        <v>0.8</v>
      </c>
      <c r="S56" s="1003">
        <v>0.7</v>
      </c>
      <c r="T56" s="23">
        <v>0.75</v>
      </c>
      <c r="U56" s="23">
        <v>0.6</v>
      </c>
      <c r="V56" s="309">
        <v>0.25</v>
      </c>
      <c r="W56" s="23">
        <v>20</v>
      </c>
      <c r="X56" s="23">
        <v>30</v>
      </c>
      <c r="Y56" s="23">
        <v>5</v>
      </c>
      <c r="Z56" s="23">
        <v>10</v>
      </c>
      <c r="AA56" s="246"/>
      <c r="AB56" s="1085"/>
      <c r="AC56" s="1085"/>
      <c r="AD56" s="685"/>
      <c r="AE56" s="685"/>
      <c r="AF56" s="685"/>
      <c r="AG56" s="685"/>
      <c r="AH56" s="685"/>
      <c r="AI56" s="685"/>
    </row>
    <row r="57" spans="2:35" ht="16.5" customHeight="1">
      <c r="B57" s="24" t="s">
        <v>644</v>
      </c>
      <c r="C57" s="1000">
        <v>49</v>
      </c>
      <c r="D57" s="256" t="s">
        <v>22</v>
      </c>
      <c r="E57" s="676">
        <v>9</v>
      </c>
      <c r="F57" s="256">
        <v>4.5999999999999996</v>
      </c>
      <c r="G57" s="995">
        <v>4.4000000000000004</v>
      </c>
      <c r="H57" s="928"/>
      <c r="I57" s="928"/>
      <c r="J57" s="995"/>
      <c r="K57" s="995">
        <v>0.5</v>
      </c>
      <c r="L57" s="995">
        <v>0.69</v>
      </c>
      <c r="M57" s="1002">
        <f>L57/182.5</f>
        <v>3.7808219178082189E-3</v>
      </c>
      <c r="N57" s="1027">
        <v>0.9</v>
      </c>
      <c r="O57" s="1002">
        <f t="shared" si="15"/>
        <v>4.9315068493150684E-3</v>
      </c>
      <c r="P57" s="995">
        <v>0.3</v>
      </c>
      <c r="Q57" s="995">
        <f t="shared" si="16"/>
        <v>1.643835616438356E-3</v>
      </c>
      <c r="R57" s="1003">
        <v>0.8</v>
      </c>
      <c r="S57" s="1003">
        <v>0.7</v>
      </c>
      <c r="T57" s="23">
        <v>0.75</v>
      </c>
      <c r="U57" s="23">
        <v>0.6</v>
      </c>
      <c r="V57" s="309">
        <v>0.25</v>
      </c>
      <c r="W57" s="23">
        <v>20</v>
      </c>
      <c r="X57" s="23">
        <v>30</v>
      </c>
      <c r="Y57" s="23">
        <v>5</v>
      </c>
      <c r="Z57" s="23">
        <v>10</v>
      </c>
      <c r="AA57" s="247"/>
      <c r="AB57" s="1086"/>
      <c r="AC57" s="1086"/>
      <c r="AD57" s="1583"/>
      <c r="AE57" s="1583"/>
      <c r="AF57" s="1583"/>
      <c r="AG57" s="1583"/>
      <c r="AH57" s="1583"/>
      <c r="AI57" s="1583"/>
    </row>
    <row r="58" spans="2:35" ht="16.5" customHeight="1">
      <c r="B58" s="24" t="s">
        <v>645</v>
      </c>
      <c r="C58" s="1000">
        <v>50</v>
      </c>
      <c r="D58" s="256" t="s">
        <v>22</v>
      </c>
      <c r="E58" s="256">
        <v>15.4</v>
      </c>
      <c r="F58" s="256">
        <v>8.5</v>
      </c>
      <c r="G58" s="995">
        <v>7.5</v>
      </c>
      <c r="H58" s="928"/>
      <c r="I58" s="928"/>
      <c r="J58" s="995"/>
      <c r="K58" s="677">
        <v>1</v>
      </c>
      <c r="L58" s="995">
        <v>0.93</v>
      </c>
      <c r="M58" s="1002">
        <f>L58/182.5</f>
        <v>5.0958904109589045E-3</v>
      </c>
      <c r="N58" s="1027">
        <v>1.25</v>
      </c>
      <c r="O58" s="1002">
        <f t="shared" si="15"/>
        <v>6.8493150684931503E-3</v>
      </c>
      <c r="P58" s="995">
        <v>0.5</v>
      </c>
      <c r="Q58" s="995">
        <f t="shared" si="16"/>
        <v>2.7397260273972603E-3</v>
      </c>
      <c r="R58" s="1003">
        <v>0.8</v>
      </c>
      <c r="S58" s="1003">
        <v>0.7</v>
      </c>
      <c r="T58" s="23">
        <v>0.75</v>
      </c>
      <c r="U58" s="23">
        <v>0.6</v>
      </c>
      <c r="V58" s="309">
        <v>0.25</v>
      </c>
      <c r="W58" s="23">
        <v>20</v>
      </c>
      <c r="X58" s="23">
        <v>30</v>
      </c>
      <c r="Y58" s="23">
        <v>5</v>
      </c>
      <c r="Z58" s="23">
        <v>10</v>
      </c>
      <c r="AA58" s="246"/>
      <c r="AB58" s="1085"/>
      <c r="AC58" s="1085"/>
      <c r="AD58" s="685"/>
      <c r="AE58" s="685"/>
      <c r="AF58" s="685"/>
      <c r="AG58" s="685"/>
      <c r="AH58" s="685"/>
      <c r="AI58" s="685"/>
    </row>
    <row r="59" spans="2:35" ht="15.75">
      <c r="B59" s="24" t="s">
        <v>646</v>
      </c>
      <c r="C59" s="1000">
        <v>54</v>
      </c>
      <c r="D59" s="256" t="s">
        <v>22</v>
      </c>
      <c r="E59" s="256">
        <v>13.3</v>
      </c>
      <c r="F59" s="256">
        <v>7.5</v>
      </c>
      <c r="G59" s="995">
        <v>6.4</v>
      </c>
      <c r="H59" s="928"/>
      <c r="I59" s="928"/>
      <c r="J59" s="995"/>
      <c r="K59" s="677">
        <v>1</v>
      </c>
      <c r="L59" s="995">
        <v>0.93</v>
      </c>
      <c r="M59" s="1002">
        <f>L59/182.5</f>
        <v>5.0958904109589045E-3</v>
      </c>
      <c r="N59" s="1027">
        <v>1.25</v>
      </c>
      <c r="O59" s="1002">
        <f t="shared" si="15"/>
        <v>6.8493150684931503E-3</v>
      </c>
      <c r="P59" s="995">
        <v>0.5</v>
      </c>
      <c r="Q59" s="995">
        <f t="shared" si="16"/>
        <v>2.7397260273972603E-3</v>
      </c>
      <c r="R59" s="1003">
        <v>0.8</v>
      </c>
      <c r="S59" s="1003">
        <v>0.7</v>
      </c>
      <c r="T59" s="23">
        <v>0.75</v>
      </c>
      <c r="U59" s="23">
        <v>0.6</v>
      </c>
      <c r="V59" s="309">
        <v>0.25</v>
      </c>
      <c r="W59" s="23">
        <v>20</v>
      </c>
      <c r="X59" s="23">
        <v>30</v>
      </c>
      <c r="Y59" s="23">
        <v>5</v>
      </c>
      <c r="Z59" s="23">
        <v>10</v>
      </c>
      <c r="AA59" s="246"/>
      <c r="AB59" s="1085"/>
      <c r="AC59" s="1085"/>
      <c r="AD59" s="685"/>
      <c r="AE59" s="685"/>
      <c r="AF59" s="685"/>
      <c r="AG59" s="685"/>
      <c r="AH59" s="685"/>
      <c r="AI59" s="685"/>
    </row>
    <row r="60" spans="2:35" ht="15.75">
      <c r="B60" s="24" t="s">
        <v>663</v>
      </c>
      <c r="C60" s="1000">
        <v>51</v>
      </c>
      <c r="D60" s="256" t="s">
        <v>22</v>
      </c>
      <c r="E60" s="256">
        <v>11.1</v>
      </c>
      <c r="F60" s="256">
        <v>4.8</v>
      </c>
      <c r="G60" s="995">
        <v>5.5</v>
      </c>
      <c r="H60" s="928"/>
      <c r="I60" s="928"/>
      <c r="J60" s="995"/>
      <c r="K60" s="995">
        <v>0.5</v>
      </c>
      <c r="L60" s="995">
        <v>0.54</v>
      </c>
      <c r="M60" s="1002">
        <f>$L60/182.5</f>
        <v>2.9589041095890414E-3</v>
      </c>
      <c r="N60" s="1027">
        <v>0.75</v>
      </c>
      <c r="O60" s="1002">
        <f t="shared" ref="O60:O62" si="17">N60/182.5</f>
        <v>4.10958904109589E-3</v>
      </c>
      <c r="P60" s="995">
        <v>0.3</v>
      </c>
      <c r="Q60" s="995">
        <f t="shared" si="16"/>
        <v>1.643835616438356E-3</v>
      </c>
      <c r="R60" s="1003">
        <v>0.8</v>
      </c>
      <c r="S60" s="1003">
        <v>0.7</v>
      </c>
      <c r="T60" s="23">
        <v>0.75</v>
      </c>
      <c r="U60" s="23">
        <v>0.6</v>
      </c>
      <c r="V60" s="309">
        <v>0.25</v>
      </c>
      <c r="W60" s="23">
        <v>20</v>
      </c>
      <c r="X60" s="23">
        <v>30</v>
      </c>
      <c r="Y60" s="23">
        <v>5</v>
      </c>
      <c r="Z60" s="23">
        <v>10</v>
      </c>
      <c r="AA60" s="247"/>
      <c r="AB60" s="1086"/>
      <c r="AC60" s="1086"/>
      <c r="AD60" s="1583"/>
      <c r="AE60" s="1583"/>
      <c r="AF60" s="1583"/>
      <c r="AG60" s="1583"/>
      <c r="AH60" s="1583"/>
      <c r="AI60" s="1583"/>
    </row>
    <row r="61" spans="2:35" ht="15.75">
      <c r="B61" s="24" t="s">
        <v>662</v>
      </c>
      <c r="C61" s="1000">
        <v>52</v>
      </c>
      <c r="D61" s="256" t="s">
        <v>22</v>
      </c>
      <c r="E61" s="256">
        <v>10.7</v>
      </c>
      <c r="F61" s="256">
        <v>4.0999999999999996</v>
      </c>
      <c r="G61" s="995">
        <v>5.3</v>
      </c>
      <c r="H61" s="24"/>
      <c r="I61" s="24"/>
      <c r="J61" s="995"/>
      <c r="K61" s="995">
        <v>0.5</v>
      </c>
      <c r="L61" s="995">
        <v>0.54</v>
      </c>
      <c r="M61" s="1002">
        <f t="shared" ref="M61:M65" si="18">$L61/182.5</f>
        <v>2.9589041095890414E-3</v>
      </c>
      <c r="N61" s="1027">
        <v>0.75</v>
      </c>
      <c r="O61" s="1002">
        <f t="shared" si="17"/>
        <v>4.10958904109589E-3</v>
      </c>
      <c r="P61" s="995">
        <v>0.3</v>
      </c>
      <c r="Q61" s="995">
        <f t="shared" si="16"/>
        <v>1.643835616438356E-3</v>
      </c>
      <c r="R61" s="1003">
        <v>0.8</v>
      </c>
      <c r="S61" s="1003">
        <v>0.7</v>
      </c>
      <c r="T61" s="23">
        <v>0.75</v>
      </c>
      <c r="U61" s="23">
        <v>0.6</v>
      </c>
      <c r="V61" s="309">
        <v>0.25</v>
      </c>
      <c r="W61" s="23">
        <v>20</v>
      </c>
      <c r="X61" s="23">
        <v>30</v>
      </c>
      <c r="Y61" s="23">
        <v>5</v>
      </c>
      <c r="Z61" s="23">
        <v>10</v>
      </c>
      <c r="AA61" s="246"/>
      <c r="AB61" s="1085"/>
      <c r="AC61" s="1085"/>
      <c r="AD61" s="685"/>
      <c r="AE61" s="685"/>
      <c r="AF61" s="685"/>
      <c r="AG61" s="685"/>
      <c r="AH61" s="685"/>
      <c r="AI61" s="685"/>
    </row>
    <row r="62" spans="2:35" ht="15.75">
      <c r="B62" s="24" t="s">
        <v>661</v>
      </c>
      <c r="C62" s="1000">
        <v>53</v>
      </c>
      <c r="D62" s="256" t="s">
        <v>22</v>
      </c>
      <c r="E62" s="256">
        <v>9.6</v>
      </c>
      <c r="F62" s="256">
        <v>3.7</v>
      </c>
      <c r="G62" s="995">
        <v>5.2</v>
      </c>
      <c r="H62" s="928"/>
      <c r="I62" s="928"/>
      <c r="J62" s="995"/>
      <c r="K62" s="995">
        <v>0.5</v>
      </c>
      <c r="L62" s="995">
        <v>0.54</v>
      </c>
      <c r="M62" s="1002">
        <f t="shared" si="18"/>
        <v>2.9589041095890414E-3</v>
      </c>
      <c r="N62" s="1027">
        <v>0.75</v>
      </c>
      <c r="O62" s="1002">
        <f t="shared" si="17"/>
        <v>4.10958904109589E-3</v>
      </c>
      <c r="P62" s="995">
        <v>0.3</v>
      </c>
      <c r="Q62" s="995">
        <f t="shared" si="16"/>
        <v>1.643835616438356E-3</v>
      </c>
      <c r="R62" s="1003">
        <v>0.8</v>
      </c>
      <c r="S62" s="1003">
        <v>0.7</v>
      </c>
      <c r="T62" s="23">
        <v>0.75</v>
      </c>
      <c r="U62" s="23">
        <v>0.6</v>
      </c>
      <c r="V62" s="309">
        <v>0.25</v>
      </c>
      <c r="W62" s="23">
        <v>20</v>
      </c>
      <c r="X62" s="23">
        <v>30</v>
      </c>
      <c r="Y62" s="23">
        <v>5</v>
      </c>
      <c r="Z62" s="23">
        <v>10</v>
      </c>
      <c r="AA62" s="246"/>
      <c r="AB62" s="1085"/>
      <c r="AC62" s="1085"/>
      <c r="AD62" s="685"/>
      <c r="AE62" s="685"/>
      <c r="AF62" s="685"/>
      <c r="AG62" s="685"/>
      <c r="AH62" s="685"/>
      <c r="AI62" s="685"/>
    </row>
    <row r="63" spans="2:35" ht="15.75">
      <c r="B63" s="24" t="s">
        <v>647</v>
      </c>
      <c r="C63" s="1000">
        <v>55</v>
      </c>
      <c r="D63" s="256" t="s">
        <v>22</v>
      </c>
      <c r="E63" s="256">
        <v>11.8</v>
      </c>
      <c r="F63" s="256">
        <v>4.8</v>
      </c>
      <c r="G63" s="995">
        <v>6.6</v>
      </c>
      <c r="H63" s="928"/>
      <c r="I63" s="928"/>
      <c r="J63" s="995"/>
      <c r="K63" s="995">
        <v>0.5</v>
      </c>
      <c r="L63" s="995">
        <v>0.54</v>
      </c>
      <c r="M63" s="1002">
        <f t="shared" si="18"/>
        <v>2.9589041095890414E-3</v>
      </c>
      <c r="N63" s="1027">
        <v>0.75</v>
      </c>
      <c r="O63" s="1002">
        <f t="shared" si="15"/>
        <v>4.10958904109589E-3</v>
      </c>
      <c r="P63" s="995">
        <v>0.3</v>
      </c>
      <c r="Q63" s="995">
        <f t="shared" si="16"/>
        <v>1.643835616438356E-3</v>
      </c>
      <c r="R63" s="1003">
        <v>0.8</v>
      </c>
      <c r="S63" s="1003">
        <v>0.7</v>
      </c>
      <c r="T63" s="23">
        <v>0.75</v>
      </c>
      <c r="U63" s="23">
        <v>0.6</v>
      </c>
      <c r="V63" s="309">
        <v>0.25</v>
      </c>
      <c r="W63" s="23">
        <v>20</v>
      </c>
      <c r="X63" s="23">
        <v>30</v>
      </c>
      <c r="Y63" s="23">
        <v>5</v>
      </c>
      <c r="Z63" s="23">
        <v>10</v>
      </c>
      <c r="AA63" s="2"/>
      <c r="AB63" s="1082"/>
      <c r="AC63" s="685"/>
      <c r="AD63" s="685"/>
      <c r="AE63" s="685"/>
      <c r="AF63" s="685"/>
      <c r="AG63" s="685"/>
      <c r="AH63" s="685"/>
      <c r="AI63" s="685"/>
    </row>
    <row r="64" spans="2:35" ht="15.75">
      <c r="B64" s="24" t="s">
        <v>24</v>
      </c>
      <c r="C64" s="1000">
        <v>56</v>
      </c>
      <c r="D64" s="256" t="s">
        <v>22</v>
      </c>
      <c r="E64" s="256">
        <v>11.3</v>
      </c>
      <c r="F64" s="256">
        <v>4.4000000000000004</v>
      </c>
      <c r="G64" s="995">
        <v>6.4</v>
      </c>
      <c r="H64" s="928"/>
      <c r="I64" s="928"/>
      <c r="J64" s="995"/>
      <c r="K64" s="995">
        <v>0.5</v>
      </c>
      <c r="L64" s="995">
        <v>0.54</v>
      </c>
      <c r="M64" s="1002">
        <f t="shared" si="18"/>
        <v>2.9589041095890414E-3</v>
      </c>
      <c r="N64" s="1027">
        <v>0.75</v>
      </c>
      <c r="O64" s="1002">
        <f t="shared" si="15"/>
        <v>4.10958904109589E-3</v>
      </c>
      <c r="P64" s="995">
        <v>0.3</v>
      </c>
      <c r="Q64" s="995">
        <f t="shared" si="16"/>
        <v>1.643835616438356E-3</v>
      </c>
      <c r="R64" s="1003">
        <v>0.8</v>
      </c>
      <c r="S64" s="1003">
        <v>0.7</v>
      </c>
      <c r="T64" s="23">
        <v>0.75</v>
      </c>
      <c r="U64" s="23">
        <v>0.6</v>
      </c>
      <c r="V64" s="309">
        <v>0.25</v>
      </c>
      <c r="W64" s="23">
        <v>20</v>
      </c>
      <c r="X64" s="23">
        <v>30</v>
      </c>
      <c r="Y64" s="23">
        <v>5</v>
      </c>
      <c r="Z64" s="23">
        <v>10</v>
      </c>
      <c r="AA64" s="2"/>
      <c r="AB64" s="1082"/>
      <c r="AC64" s="685"/>
      <c r="AD64" s="685"/>
      <c r="AE64" s="685"/>
      <c r="AF64" s="685"/>
      <c r="AG64" s="685"/>
      <c r="AH64" s="685"/>
      <c r="AI64" s="685"/>
    </row>
    <row r="65" spans="2:35" ht="15.75">
      <c r="B65" s="24" t="s">
        <v>25</v>
      </c>
      <c r="C65" s="1000">
        <v>57</v>
      </c>
      <c r="D65" s="256" t="s">
        <v>22</v>
      </c>
      <c r="E65" s="256">
        <v>22.1</v>
      </c>
      <c r="F65" s="256">
        <v>9.6</v>
      </c>
      <c r="G65" s="995">
        <v>8.8000000000000007</v>
      </c>
      <c r="H65" s="928"/>
      <c r="I65" s="928"/>
      <c r="J65" s="995"/>
      <c r="K65" s="677">
        <v>1</v>
      </c>
      <c r="L65" s="995">
        <v>1.23</v>
      </c>
      <c r="M65" s="1002">
        <f t="shared" si="18"/>
        <v>6.7397260273972604E-3</v>
      </c>
      <c r="N65" s="1027">
        <v>1.8</v>
      </c>
      <c r="O65" s="1002">
        <f>N65/182.5</f>
        <v>9.8630136986301367E-3</v>
      </c>
      <c r="P65" s="995">
        <v>0.75</v>
      </c>
      <c r="Q65" s="995">
        <f t="shared" si="16"/>
        <v>4.10958904109589E-3</v>
      </c>
      <c r="R65" s="1003">
        <v>0.8</v>
      </c>
      <c r="S65" s="1003">
        <v>0.7</v>
      </c>
      <c r="T65" s="23">
        <v>0.75</v>
      </c>
      <c r="U65" s="23">
        <v>0.6</v>
      </c>
      <c r="V65" s="309">
        <v>0.25</v>
      </c>
      <c r="W65" s="23">
        <v>20</v>
      </c>
      <c r="X65" s="23">
        <v>30</v>
      </c>
      <c r="Y65" s="23">
        <v>5</v>
      </c>
      <c r="Z65" s="23">
        <v>10</v>
      </c>
      <c r="AA65" s="2"/>
      <c r="AB65" s="1082"/>
      <c r="AC65" s="685"/>
      <c r="AD65" s="685"/>
      <c r="AE65" s="685"/>
      <c r="AF65" s="685"/>
      <c r="AG65" s="685"/>
      <c r="AH65" s="685"/>
      <c r="AI65" s="685"/>
    </row>
    <row r="66" spans="2:35" ht="15.75">
      <c r="B66" s="24" t="s">
        <v>695</v>
      </c>
      <c r="C66" s="1000">
        <v>58</v>
      </c>
      <c r="D66" s="256" t="s">
        <v>22</v>
      </c>
      <c r="E66" s="256">
        <v>0.26900000000000002</v>
      </c>
      <c r="F66" s="256">
        <v>0.17599999999999999</v>
      </c>
      <c r="G66" s="995">
        <v>0.125</v>
      </c>
      <c r="H66" s="928"/>
      <c r="I66" s="928"/>
      <c r="J66" s="995"/>
      <c r="K66" s="995"/>
      <c r="L66" s="995">
        <v>3.5000000000000001E-3</v>
      </c>
      <c r="M66" s="1030">
        <f>$L66/182.5</f>
        <v>1.9178082191780822E-5</v>
      </c>
      <c r="N66" s="1027">
        <v>0</v>
      </c>
      <c r="O66" s="1031">
        <f t="shared" si="15"/>
        <v>0</v>
      </c>
      <c r="P66" s="995">
        <v>0</v>
      </c>
      <c r="Q66" s="995">
        <f t="shared" si="16"/>
        <v>0</v>
      </c>
      <c r="R66" s="1003">
        <v>0</v>
      </c>
      <c r="S66" s="1003">
        <v>0.6</v>
      </c>
      <c r="T66" s="23">
        <v>0</v>
      </c>
      <c r="U66" s="23">
        <v>0.5</v>
      </c>
      <c r="V66" s="309">
        <v>0.25</v>
      </c>
      <c r="W66" s="23">
        <v>0</v>
      </c>
      <c r="X66" s="23">
        <v>40</v>
      </c>
      <c r="Y66" s="23">
        <v>0</v>
      </c>
      <c r="Z66" s="23">
        <v>10</v>
      </c>
      <c r="AA66" s="2"/>
      <c r="AB66" s="1082"/>
      <c r="AC66" s="685"/>
      <c r="AD66" s="685"/>
      <c r="AE66" s="685"/>
      <c r="AF66" s="685"/>
      <c r="AG66" s="685"/>
      <c r="AH66" s="685"/>
      <c r="AI66" s="685"/>
    </row>
    <row r="67" spans="2:35" ht="15.75">
      <c r="B67" s="24" t="s">
        <v>26</v>
      </c>
      <c r="C67" s="1000">
        <v>59</v>
      </c>
      <c r="D67" s="256" t="s">
        <v>22</v>
      </c>
      <c r="E67" s="256">
        <v>0.252</v>
      </c>
      <c r="F67" s="256">
        <v>0.151</v>
      </c>
      <c r="G67" s="995">
        <v>0.125</v>
      </c>
      <c r="H67" s="928"/>
      <c r="I67" s="928"/>
      <c r="J67" s="995"/>
      <c r="K67" s="995"/>
      <c r="L67" s="995">
        <v>3.5000000000000001E-3</v>
      </c>
      <c r="M67" s="1030">
        <f t="shared" ref="M67:M69" si="19">$L67/182.5</f>
        <v>1.9178082191780822E-5</v>
      </c>
      <c r="N67" s="1027">
        <v>0</v>
      </c>
      <c r="O67" s="1031">
        <f t="shared" si="15"/>
        <v>0</v>
      </c>
      <c r="P67" s="995">
        <v>0</v>
      </c>
      <c r="Q67" s="995">
        <f t="shared" si="16"/>
        <v>0</v>
      </c>
      <c r="R67" s="1003">
        <v>0</v>
      </c>
      <c r="S67" s="1003">
        <v>0.6</v>
      </c>
      <c r="T67" s="23">
        <v>0</v>
      </c>
      <c r="U67" s="23">
        <v>0.5</v>
      </c>
      <c r="V67" s="309">
        <v>0.25</v>
      </c>
      <c r="W67" s="23">
        <v>0</v>
      </c>
      <c r="X67" s="23">
        <v>40</v>
      </c>
      <c r="Y67" s="23">
        <v>0</v>
      </c>
      <c r="Z67" s="23">
        <v>10</v>
      </c>
      <c r="AA67" s="2"/>
      <c r="AB67" s="1082"/>
      <c r="AC67" s="685"/>
      <c r="AD67" s="685"/>
      <c r="AE67" s="685"/>
      <c r="AF67" s="685"/>
      <c r="AG67" s="685"/>
      <c r="AH67" s="685"/>
      <c r="AI67" s="685"/>
    </row>
    <row r="68" spans="2:35" ht="18.75" customHeight="1">
      <c r="B68" s="24" t="s">
        <v>698</v>
      </c>
      <c r="C68" s="1000">
        <v>60</v>
      </c>
      <c r="D68" s="256" t="s">
        <v>22</v>
      </c>
      <c r="E68" s="256">
        <v>0.76400000000000001</v>
      </c>
      <c r="F68" s="256">
        <v>0.39600000000000002</v>
      </c>
      <c r="G68" s="995">
        <v>0.34499999999999997</v>
      </c>
      <c r="H68" s="928"/>
      <c r="I68" s="928"/>
      <c r="J68" s="995"/>
      <c r="K68" s="995"/>
      <c r="L68" s="995">
        <v>1.0999999999999999E-2</v>
      </c>
      <c r="M68" s="1030">
        <f t="shared" si="19"/>
        <v>6.0273972602739724E-5</v>
      </c>
      <c r="N68" s="1027">
        <v>0</v>
      </c>
      <c r="O68" s="1031">
        <f t="shared" si="15"/>
        <v>0</v>
      </c>
      <c r="P68" s="995">
        <v>0</v>
      </c>
      <c r="Q68" s="995">
        <f t="shared" si="16"/>
        <v>0</v>
      </c>
      <c r="R68" s="1003">
        <v>0</v>
      </c>
      <c r="S68" s="1003">
        <v>0.6</v>
      </c>
      <c r="T68" s="23">
        <v>0</v>
      </c>
      <c r="U68" s="23">
        <v>0.5</v>
      </c>
      <c r="V68" s="309">
        <v>0.25</v>
      </c>
      <c r="W68" s="23">
        <v>0</v>
      </c>
      <c r="X68" s="23">
        <v>40</v>
      </c>
      <c r="Y68" s="23">
        <v>0</v>
      </c>
      <c r="Z68" s="23">
        <v>10</v>
      </c>
      <c r="AA68" s="2"/>
      <c r="AB68" s="1082"/>
      <c r="AC68" s="685"/>
      <c r="AD68" s="685"/>
      <c r="AE68" s="685"/>
      <c r="AF68" s="685"/>
      <c r="AG68" s="685"/>
      <c r="AH68" s="685"/>
      <c r="AI68" s="685"/>
    </row>
    <row r="69" spans="2:35" ht="15.75">
      <c r="B69" s="24" t="s">
        <v>27</v>
      </c>
      <c r="C69" s="1000">
        <v>61</v>
      </c>
      <c r="D69" s="256" t="s">
        <v>22</v>
      </c>
      <c r="E69" s="256">
        <v>0.73099999999999998</v>
      </c>
      <c r="F69" s="256">
        <v>0.34599999999999997</v>
      </c>
      <c r="G69" s="995">
        <v>0.34499999999999997</v>
      </c>
      <c r="H69" s="24"/>
      <c r="I69" s="995"/>
      <c r="J69" s="995"/>
      <c r="K69" s="995"/>
      <c r="L69" s="995">
        <v>1.0999999999999999E-2</v>
      </c>
      <c r="M69" s="1030">
        <f t="shared" si="19"/>
        <v>6.0273972602739724E-5</v>
      </c>
      <c r="N69" s="1027">
        <v>0</v>
      </c>
      <c r="O69" s="1031">
        <f t="shared" si="15"/>
        <v>0</v>
      </c>
      <c r="P69" s="995">
        <v>0</v>
      </c>
      <c r="Q69" s="995">
        <f t="shared" si="16"/>
        <v>0</v>
      </c>
      <c r="R69" s="1003">
        <v>0</v>
      </c>
      <c r="S69" s="1003">
        <v>0.6</v>
      </c>
      <c r="T69" s="23">
        <v>0</v>
      </c>
      <c r="U69" s="23">
        <v>0.5</v>
      </c>
      <c r="V69" s="309">
        <v>0.25</v>
      </c>
      <c r="W69" s="23">
        <v>0</v>
      </c>
      <c r="X69" s="23">
        <v>40</v>
      </c>
      <c r="Y69" s="23">
        <v>0</v>
      </c>
      <c r="Z69" s="23">
        <v>10</v>
      </c>
      <c r="AA69" s="2"/>
      <c r="AB69" s="1082"/>
      <c r="AC69" s="685"/>
      <c r="AD69" s="685"/>
      <c r="AE69" s="685"/>
      <c r="AF69" s="685"/>
      <c r="AG69" s="685"/>
      <c r="AH69" s="685"/>
      <c r="AI69" s="685"/>
    </row>
    <row r="70" spans="2:35" ht="15.75">
      <c r="B70" s="24" t="s">
        <v>699</v>
      </c>
      <c r="C70" s="1000">
        <v>62</v>
      </c>
      <c r="D70" s="256" t="s">
        <v>22</v>
      </c>
      <c r="E70" s="256">
        <v>0.41299999999999998</v>
      </c>
      <c r="F70" s="256">
        <v>0.20799999999999999</v>
      </c>
      <c r="G70" s="995">
        <v>0.22800000000000001</v>
      </c>
      <c r="H70" s="928"/>
      <c r="I70" s="928"/>
      <c r="J70" s="995"/>
      <c r="K70" s="995"/>
      <c r="L70" s="995">
        <v>5.8999999999999999E-3</v>
      </c>
      <c r="M70" s="1030">
        <f t="shared" ref="M70:M77" si="20">L70/182.5</f>
        <v>3.2328767123287669E-5</v>
      </c>
      <c r="N70" s="1027">
        <v>0</v>
      </c>
      <c r="O70" s="1031">
        <f t="shared" si="15"/>
        <v>0</v>
      </c>
      <c r="P70" s="995">
        <v>0</v>
      </c>
      <c r="Q70" s="995">
        <f t="shared" si="16"/>
        <v>0</v>
      </c>
      <c r="R70" s="1003">
        <v>0</v>
      </c>
      <c r="S70" s="1003">
        <v>0.6</v>
      </c>
      <c r="T70" s="23">
        <v>0</v>
      </c>
      <c r="U70" s="23">
        <v>0.5</v>
      </c>
      <c r="V70" s="309">
        <v>0.25</v>
      </c>
      <c r="W70" s="23">
        <v>0</v>
      </c>
      <c r="X70" s="23">
        <v>40</v>
      </c>
      <c r="Y70" s="23">
        <v>0</v>
      </c>
      <c r="Z70" s="23">
        <v>10</v>
      </c>
      <c r="AA70" s="2"/>
      <c r="AB70" s="1082"/>
      <c r="AC70" s="685"/>
      <c r="AD70" s="685"/>
      <c r="AE70" s="685"/>
      <c r="AF70" s="685"/>
      <c r="AG70" s="685"/>
      <c r="AH70" s="685"/>
      <c r="AI70" s="685"/>
    </row>
    <row r="71" spans="2:35" ht="18" customHeight="1">
      <c r="B71" s="24" t="s">
        <v>28</v>
      </c>
      <c r="C71" s="1000">
        <v>63</v>
      </c>
      <c r="D71" s="256" t="s">
        <v>22</v>
      </c>
      <c r="E71" s="256">
        <v>0.38500000000000001</v>
      </c>
      <c r="F71" s="256">
        <v>0.17599999999999999</v>
      </c>
      <c r="G71" s="995">
        <v>0.22800000000000001</v>
      </c>
      <c r="H71" s="24"/>
      <c r="I71" s="24"/>
      <c r="J71" s="995"/>
      <c r="K71" s="995"/>
      <c r="L71" s="995">
        <v>5.8999999999999999E-3</v>
      </c>
      <c r="M71" s="1030">
        <f t="shared" si="20"/>
        <v>3.2328767123287669E-5</v>
      </c>
      <c r="N71" s="1027">
        <v>0</v>
      </c>
      <c r="O71" s="1031">
        <f t="shared" si="15"/>
        <v>0</v>
      </c>
      <c r="P71" s="995">
        <v>0</v>
      </c>
      <c r="Q71" s="995">
        <f t="shared" si="16"/>
        <v>0</v>
      </c>
      <c r="R71" s="1003">
        <v>0</v>
      </c>
      <c r="S71" s="1003">
        <v>0.6</v>
      </c>
      <c r="T71" s="23">
        <v>0</v>
      </c>
      <c r="U71" s="23">
        <v>0.5</v>
      </c>
      <c r="V71" s="309">
        <v>0.25</v>
      </c>
      <c r="W71" s="23">
        <v>0</v>
      </c>
      <c r="X71" s="23">
        <v>40</v>
      </c>
      <c r="Y71" s="23">
        <v>0</v>
      </c>
      <c r="Z71" s="23">
        <v>10</v>
      </c>
      <c r="AA71" s="2"/>
      <c r="AB71" s="1082"/>
      <c r="AC71" s="685"/>
      <c r="AD71" s="685"/>
      <c r="AE71" s="685"/>
      <c r="AF71" s="685"/>
      <c r="AG71" s="685"/>
      <c r="AH71" s="685"/>
      <c r="AI71" s="685"/>
    </row>
    <row r="72" spans="2:35" ht="15.75">
      <c r="B72" s="24" t="s">
        <v>700</v>
      </c>
      <c r="C72" s="1000">
        <v>64</v>
      </c>
      <c r="D72" s="256" t="s">
        <v>22</v>
      </c>
      <c r="E72" s="256">
        <v>0.38800000000000001</v>
      </c>
      <c r="F72" s="256">
        <v>0.19</v>
      </c>
      <c r="G72" s="995">
        <v>0.219</v>
      </c>
      <c r="H72" s="928"/>
      <c r="I72" s="928"/>
      <c r="J72" s="995"/>
      <c r="K72" s="995"/>
      <c r="L72" s="995">
        <v>5.5500000000000002E-3</v>
      </c>
      <c r="M72" s="1030">
        <f t="shared" si="20"/>
        <v>3.0410958904109591E-5</v>
      </c>
      <c r="N72" s="1027">
        <v>0</v>
      </c>
      <c r="O72" s="1031">
        <f t="shared" si="15"/>
        <v>0</v>
      </c>
      <c r="P72" s="995">
        <v>0</v>
      </c>
      <c r="Q72" s="995">
        <f t="shared" si="16"/>
        <v>0</v>
      </c>
      <c r="R72" s="1003">
        <v>0</v>
      </c>
      <c r="S72" s="1003">
        <v>0.6</v>
      </c>
      <c r="T72" s="23">
        <v>0</v>
      </c>
      <c r="U72" s="23">
        <v>0.5</v>
      </c>
      <c r="V72" s="309">
        <v>0.25</v>
      </c>
      <c r="W72" s="23">
        <v>0</v>
      </c>
      <c r="X72" s="23">
        <v>40</v>
      </c>
      <c r="Y72" s="23">
        <v>0</v>
      </c>
      <c r="Z72" s="23">
        <v>10</v>
      </c>
      <c r="AA72" s="2"/>
      <c r="AB72" s="1082"/>
      <c r="AC72" s="685"/>
      <c r="AD72" s="685"/>
      <c r="AE72" s="685"/>
      <c r="AF72" s="685"/>
      <c r="AG72" s="685"/>
      <c r="AH72" s="685"/>
      <c r="AI72" s="685"/>
    </row>
    <row r="73" spans="2:35" ht="16.5" customHeight="1">
      <c r="B73" s="24" t="s">
        <v>648</v>
      </c>
      <c r="C73" s="1000">
        <v>65</v>
      </c>
      <c r="D73" s="256" t="s">
        <v>22</v>
      </c>
      <c r="E73" s="256">
        <v>0.35699999999999998</v>
      </c>
      <c r="F73" s="256">
        <v>0.17399999999999999</v>
      </c>
      <c r="G73" s="995">
        <v>0.219</v>
      </c>
      <c r="H73" s="24"/>
      <c r="I73" s="995"/>
      <c r="J73" s="995"/>
      <c r="K73" s="995"/>
      <c r="L73" s="995">
        <v>5.5500000000000002E-3</v>
      </c>
      <c r="M73" s="1030">
        <f t="shared" si="20"/>
        <v>3.0410958904109591E-5</v>
      </c>
      <c r="N73" s="1027">
        <v>0</v>
      </c>
      <c r="O73" s="1031">
        <f t="shared" si="15"/>
        <v>0</v>
      </c>
      <c r="P73" s="995">
        <v>0</v>
      </c>
      <c r="Q73" s="995">
        <f t="shared" si="16"/>
        <v>0</v>
      </c>
      <c r="R73" s="1003">
        <v>0</v>
      </c>
      <c r="S73" s="1003">
        <v>0.6</v>
      </c>
      <c r="T73" s="23">
        <v>0</v>
      </c>
      <c r="U73" s="23">
        <v>0.5</v>
      </c>
      <c r="V73" s="309">
        <v>0.25</v>
      </c>
      <c r="W73" s="23">
        <v>0</v>
      </c>
      <c r="X73" s="23">
        <v>40</v>
      </c>
      <c r="Y73" s="23">
        <v>0</v>
      </c>
      <c r="Z73" s="23">
        <v>10</v>
      </c>
      <c r="AA73" s="2"/>
      <c r="AB73" s="1082"/>
      <c r="AC73" s="685"/>
      <c r="AD73" s="685"/>
      <c r="AE73" s="685"/>
      <c r="AF73" s="685"/>
      <c r="AG73" s="685"/>
      <c r="AH73" s="685"/>
      <c r="AI73" s="685"/>
    </row>
    <row r="74" spans="2:35" ht="16.5" customHeight="1">
      <c r="B74" s="24" t="s">
        <v>701</v>
      </c>
      <c r="C74" s="1000">
        <v>66</v>
      </c>
      <c r="D74" s="256" t="s">
        <v>22</v>
      </c>
      <c r="E74" s="256">
        <v>0.32800000000000001</v>
      </c>
      <c r="F74" s="256">
        <v>0.17399999999999999</v>
      </c>
      <c r="G74" s="995">
        <v>0.193</v>
      </c>
      <c r="H74" s="928"/>
      <c r="I74" s="928"/>
      <c r="J74" s="995"/>
      <c r="K74" s="995"/>
      <c r="L74" s="995">
        <v>5.0000000000000001E-3</v>
      </c>
      <c r="M74" s="1030">
        <f t="shared" si="20"/>
        <v>2.7397260273972603E-5</v>
      </c>
      <c r="N74" s="1027">
        <v>0</v>
      </c>
      <c r="O74" s="1031">
        <f t="shared" si="15"/>
        <v>0</v>
      </c>
      <c r="P74" s="995">
        <v>0</v>
      </c>
      <c r="Q74" s="995">
        <f t="shared" si="16"/>
        <v>0</v>
      </c>
      <c r="R74" s="1003">
        <v>0</v>
      </c>
      <c r="S74" s="1003">
        <v>0.6</v>
      </c>
      <c r="T74" s="23">
        <v>0</v>
      </c>
      <c r="U74" s="23">
        <v>0.5</v>
      </c>
      <c r="V74" s="309">
        <v>0.25</v>
      </c>
      <c r="W74" s="23">
        <v>0</v>
      </c>
      <c r="X74" s="23">
        <v>40</v>
      </c>
      <c r="Y74" s="23">
        <v>0</v>
      </c>
      <c r="Z74" s="23">
        <v>10</v>
      </c>
      <c r="AA74" s="2"/>
      <c r="AB74" s="1082"/>
      <c r="AC74" s="685"/>
      <c r="AD74" s="685"/>
      <c r="AE74" s="685"/>
      <c r="AF74" s="685"/>
      <c r="AG74" s="685"/>
      <c r="AH74" s="685"/>
      <c r="AI74" s="685"/>
    </row>
    <row r="75" spans="2:35" ht="18" customHeight="1">
      <c r="B75" s="24" t="s">
        <v>649</v>
      </c>
      <c r="C75" s="1000">
        <v>67</v>
      </c>
      <c r="D75" s="256" t="s">
        <v>22</v>
      </c>
      <c r="E75" s="256">
        <v>0.311</v>
      </c>
      <c r="F75" s="256">
        <v>0.153</v>
      </c>
      <c r="G75" s="995">
        <v>0.193</v>
      </c>
      <c r="H75" s="928"/>
      <c r="I75" s="928"/>
      <c r="J75" s="995"/>
      <c r="K75" s="995"/>
      <c r="L75" s="995">
        <v>5.0000000000000001E-3</v>
      </c>
      <c r="M75" s="1030">
        <f t="shared" si="20"/>
        <v>2.7397260273972603E-5</v>
      </c>
      <c r="N75" s="1027">
        <v>0</v>
      </c>
      <c r="O75" s="1031">
        <f t="shared" si="15"/>
        <v>0</v>
      </c>
      <c r="P75" s="995">
        <v>0</v>
      </c>
      <c r="Q75" s="995">
        <f t="shared" si="16"/>
        <v>0</v>
      </c>
      <c r="R75" s="1003">
        <v>0</v>
      </c>
      <c r="S75" s="1003">
        <v>0.6</v>
      </c>
      <c r="T75" s="23">
        <v>0</v>
      </c>
      <c r="U75" s="23">
        <v>0.5</v>
      </c>
      <c r="V75" s="309">
        <v>0.25</v>
      </c>
      <c r="W75" s="23">
        <v>0</v>
      </c>
      <c r="X75" s="23">
        <v>40</v>
      </c>
      <c r="Y75" s="23">
        <v>0</v>
      </c>
      <c r="Z75" s="23">
        <v>10</v>
      </c>
      <c r="AA75" s="2"/>
      <c r="AB75" s="1082"/>
      <c r="AC75" s="685"/>
      <c r="AD75" s="685"/>
      <c r="AE75" s="685"/>
      <c r="AF75" s="685"/>
      <c r="AG75" s="685"/>
      <c r="AH75" s="685"/>
      <c r="AI75" s="685"/>
    </row>
    <row r="76" spans="2:35" ht="15.75">
      <c r="B76" s="24" t="s">
        <v>702</v>
      </c>
      <c r="C76" s="1000">
        <v>68</v>
      </c>
      <c r="D76" s="256" t="s">
        <v>22</v>
      </c>
      <c r="E76" s="256">
        <v>0.26700000000000002</v>
      </c>
      <c r="F76" s="256">
        <v>0.14199999999999999</v>
      </c>
      <c r="G76" s="995">
        <v>0.161</v>
      </c>
      <c r="H76" s="928"/>
      <c r="I76" s="928"/>
      <c r="J76" s="995"/>
      <c r="K76" s="995"/>
      <c r="L76" s="995">
        <v>4.6499999999999996E-3</v>
      </c>
      <c r="M76" s="1030">
        <f t="shared" si="20"/>
        <v>2.5479452054794518E-5</v>
      </c>
      <c r="N76" s="1027">
        <v>0</v>
      </c>
      <c r="O76" s="1031">
        <f t="shared" si="15"/>
        <v>0</v>
      </c>
      <c r="P76" s="995">
        <v>0</v>
      </c>
      <c r="Q76" s="995">
        <f t="shared" si="16"/>
        <v>0</v>
      </c>
      <c r="R76" s="1003">
        <v>0</v>
      </c>
      <c r="S76" s="1003">
        <v>0.6</v>
      </c>
      <c r="T76" s="23">
        <v>0</v>
      </c>
      <c r="U76" s="23">
        <v>0.5</v>
      </c>
      <c r="V76" s="309">
        <v>0.25</v>
      </c>
      <c r="W76" s="23">
        <v>0</v>
      </c>
      <c r="X76" s="23">
        <v>40</v>
      </c>
      <c r="Y76" s="23">
        <v>0</v>
      </c>
      <c r="Z76" s="23">
        <v>10</v>
      </c>
      <c r="AA76" s="2"/>
      <c r="AB76" s="1082"/>
      <c r="AC76" s="685"/>
      <c r="AD76" s="685"/>
      <c r="AE76" s="685"/>
      <c r="AF76" s="685"/>
      <c r="AG76" s="685"/>
      <c r="AH76" s="685"/>
      <c r="AI76" s="685"/>
    </row>
    <row r="77" spans="2:35" ht="15.75">
      <c r="B77" s="24" t="s">
        <v>29</v>
      </c>
      <c r="C77" s="1000">
        <v>69</v>
      </c>
      <c r="D77" s="256" t="s">
        <v>22</v>
      </c>
      <c r="E77" s="256">
        <v>0.249</v>
      </c>
      <c r="F77" s="256">
        <v>0.121</v>
      </c>
      <c r="G77" s="995">
        <v>0.161</v>
      </c>
      <c r="H77" s="928"/>
      <c r="I77" s="928"/>
      <c r="J77" s="995"/>
      <c r="K77" s="995"/>
      <c r="L77" s="995">
        <v>4.6499999999999996E-3</v>
      </c>
      <c r="M77" s="1030">
        <f t="shared" si="20"/>
        <v>2.5479452054794518E-5</v>
      </c>
      <c r="N77" s="1027">
        <v>0</v>
      </c>
      <c r="O77" s="1031">
        <f t="shared" si="15"/>
        <v>0</v>
      </c>
      <c r="P77" s="995">
        <v>0</v>
      </c>
      <c r="Q77" s="995">
        <f t="shared" si="16"/>
        <v>0</v>
      </c>
      <c r="R77" s="1003">
        <v>0</v>
      </c>
      <c r="S77" s="1003">
        <v>0.6</v>
      </c>
      <c r="T77" s="23">
        <v>0</v>
      </c>
      <c r="U77" s="23">
        <v>0.5</v>
      </c>
      <c r="V77" s="309">
        <v>0.25</v>
      </c>
      <c r="W77" s="23">
        <v>0</v>
      </c>
      <c r="X77" s="23">
        <v>40</v>
      </c>
      <c r="Y77" s="23">
        <v>0</v>
      </c>
      <c r="Z77" s="23">
        <v>10</v>
      </c>
      <c r="AA77" s="2"/>
      <c r="AB77" s="1082"/>
      <c r="AC77" s="685"/>
      <c r="AD77" s="685"/>
      <c r="AE77" s="685"/>
      <c r="AF77" s="685"/>
      <c r="AG77" s="685"/>
      <c r="AH77" s="685"/>
      <c r="AI77" s="685"/>
    </row>
    <row r="78" spans="2:35" ht="14.25" customHeight="1">
      <c r="B78" s="24" t="s">
        <v>703</v>
      </c>
      <c r="C78" s="1000">
        <v>70</v>
      </c>
      <c r="D78" s="256" t="s">
        <v>23</v>
      </c>
      <c r="E78" s="256">
        <v>0.97499999999999998</v>
      </c>
      <c r="F78" s="256">
        <v>0.55000000000000004</v>
      </c>
      <c r="G78" s="995">
        <v>0.44900000000000001</v>
      </c>
      <c r="H78" s="928"/>
      <c r="I78" s="928"/>
      <c r="J78" s="995"/>
      <c r="K78" s="677"/>
      <c r="L78" s="995">
        <v>2.4199999999999999E-2</v>
      </c>
      <c r="M78" s="1030">
        <f>L78/182.5</f>
        <v>1.326027397260274E-4</v>
      </c>
      <c r="N78" s="1027">
        <v>0.127</v>
      </c>
      <c r="O78" s="1002">
        <f t="shared" si="15"/>
        <v>6.9589041095890407E-4</v>
      </c>
      <c r="P78" s="995">
        <v>0</v>
      </c>
      <c r="Q78" s="995">
        <f t="shared" si="16"/>
        <v>0</v>
      </c>
      <c r="R78" s="1003">
        <v>0</v>
      </c>
      <c r="S78" s="1003">
        <v>0.6</v>
      </c>
      <c r="T78" s="23">
        <v>0</v>
      </c>
      <c r="U78" s="23">
        <v>0.5</v>
      </c>
      <c r="V78" s="309">
        <v>0.25</v>
      </c>
      <c r="W78" s="23">
        <v>0</v>
      </c>
      <c r="X78" s="23">
        <v>40</v>
      </c>
      <c r="Y78" s="23">
        <v>0</v>
      </c>
      <c r="Z78" s="23">
        <v>10</v>
      </c>
      <c r="AA78" s="2"/>
      <c r="AB78" s="1082"/>
      <c r="AC78" s="685"/>
      <c r="AD78" s="685"/>
      <c r="AE78" s="685"/>
      <c r="AF78" s="685"/>
      <c r="AG78" s="685"/>
      <c r="AH78" s="685"/>
      <c r="AI78" s="685"/>
    </row>
    <row r="79" spans="2:35" ht="15.75">
      <c r="B79" s="24" t="s">
        <v>650</v>
      </c>
      <c r="C79" s="1000">
        <v>71</v>
      </c>
      <c r="D79" s="256" t="s">
        <v>23</v>
      </c>
      <c r="E79" s="256">
        <v>0.90500000000000003</v>
      </c>
      <c r="F79" s="256">
        <v>0.42799999999999999</v>
      </c>
      <c r="G79" s="995">
        <v>0.42399999999999999</v>
      </c>
      <c r="H79" s="24"/>
      <c r="I79" s="24"/>
      <c r="J79" s="995"/>
      <c r="K79" s="677"/>
      <c r="L79" s="995">
        <v>2.4199999999999999E-2</v>
      </c>
      <c r="M79" s="1030">
        <f t="shared" ref="M79:M88" si="21">L79/182.5</f>
        <v>1.326027397260274E-4</v>
      </c>
      <c r="N79" s="1027">
        <v>0.127</v>
      </c>
      <c r="O79" s="1002">
        <f t="shared" si="15"/>
        <v>6.9589041095890407E-4</v>
      </c>
      <c r="P79" s="995">
        <v>0</v>
      </c>
      <c r="Q79" s="995">
        <f t="shared" si="16"/>
        <v>0</v>
      </c>
      <c r="R79" s="1003">
        <v>0</v>
      </c>
      <c r="S79" s="1003">
        <v>0.6</v>
      </c>
      <c r="T79" s="23">
        <v>0</v>
      </c>
      <c r="U79" s="23">
        <v>0.5</v>
      </c>
      <c r="V79" s="309">
        <v>0.25</v>
      </c>
      <c r="W79" s="23">
        <v>0</v>
      </c>
      <c r="X79" s="23">
        <v>40</v>
      </c>
      <c r="Y79" s="23">
        <v>0</v>
      </c>
      <c r="Z79" s="23">
        <v>10</v>
      </c>
      <c r="AA79" s="2"/>
      <c r="AB79" s="1082"/>
      <c r="AC79" s="685"/>
      <c r="AD79" s="685"/>
      <c r="AE79" s="685"/>
      <c r="AF79" s="685"/>
      <c r="AG79" s="685"/>
      <c r="AH79" s="685"/>
      <c r="AI79" s="685"/>
    </row>
    <row r="80" spans="2:35" ht="15.75">
      <c r="B80" s="24" t="s">
        <v>704</v>
      </c>
      <c r="C80" s="1000">
        <v>72</v>
      </c>
      <c r="D80" s="256" t="s">
        <v>23</v>
      </c>
      <c r="E80" s="256">
        <v>0.52600000000000002</v>
      </c>
      <c r="F80" s="256">
        <v>0.28599999999999998</v>
      </c>
      <c r="G80" s="995">
        <v>0.23400000000000001</v>
      </c>
      <c r="H80" s="928"/>
      <c r="I80" s="928"/>
      <c r="J80" s="995"/>
      <c r="K80" s="995"/>
      <c r="L80" s="995">
        <v>2.52E-2</v>
      </c>
      <c r="M80" s="1030">
        <f t="shared" si="21"/>
        <v>1.3808219178082192E-4</v>
      </c>
      <c r="N80" s="1027">
        <v>0</v>
      </c>
      <c r="O80" s="1031">
        <f t="shared" si="15"/>
        <v>0</v>
      </c>
      <c r="P80" s="995">
        <v>0</v>
      </c>
      <c r="Q80" s="995">
        <f t="shared" si="16"/>
        <v>0</v>
      </c>
      <c r="R80" s="1003">
        <v>0</v>
      </c>
      <c r="S80" s="1003">
        <v>0.6</v>
      </c>
      <c r="T80" s="23">
        <v>0</v>
      </c>
      <c r="U80" s="23">
        <v>0.5</v>
      </c>
      <c r="V80" s="309">
        <v>0.25</v>
      </c>
      <c r="W80" s="23">
        <v>0</v>
      </c>
      <c r="X80" s="23">
        <v>40</v>
      </c>
      <c r="Y80" s="23">
        <v>0</v>
      </c>
      <c r="Z80" s="23">
        <v>10</v>
      </c>
      <c r="AA80" s="2"/>
      <c r="AB80" s="1082"/>
      <c r="AC80" s="685"/>
      <c r="AD80" s="685"/>
      <c r="AE80" s="685"/>
      <c r="AF80" s="685"/>
      <c r="AG80" s="685"/>
      <c r="AH80" s="685"/>
      <c r="AI80" s="685"/>
    </row>
    <row r="81" spans="2:35" ht="15.75">
      <c r="B81" s="24" t="s">
        <v>651</v>
      </c>
      <c r="C81" s="1000">
        <v>73</v>
      </c>
      <c r="D81" s="256" t="s">
        <v>23</v>
      </c>
      <c r="E81" s="256">
        <v>0.497</v>
      </c>
      <c r="F81" s="256">
        <v>0.23100000000000001</v>
      </c>
      <c r="G81" s="995">
        <v>0.22500000000000001</v>
      </c>
      <c r="H81" s="928"/>
      <c r="I81" s="928"/>
      <c r="J81" s="995"/>
      <c r="K81" s="995"/>
      <c r="L81" s="995">
        <v>2.52E-2</v>
      </c>
      <c r="M81" s="1030">
        <f t="shared" si="21"/>
        <v>1.3808219178082192E-4</v>
      </c>
      <c r="N81" s="1027">
        <v>0</v>
      </c>
      <c r="O81" s="1031">
        <f t="shared" si="15"/>
        <v>0</v>
      </c>
      <c r="P81" s="995">
        <v>0</v>
      </c>
      <c r="Q81" s="995">
        <f t="shared" si="16"/>
        <v>0</v>
      </c>
      <c r="R81" s="1003">
        <v>0</v>
      </c>
      <c r="S81" s="1003">
        <v>0.6</v>
      </c>
      <c r="T81" s="23">
        <v>0</v>
      </c>
      <c r="U81" s="23">
        <v>0.5</v>
      </c>
      <c r="V81" s="309">
        <v>0.25</v>
      </c>
      <c r="W81" s="23">
        <v>0</v>
      </c>
      <c r="X81" s="23">
        <v>40</v>
      </c>
      <c r="Y81" s="23">
        <v>0</v>
      </c>
      <c r="Z81" s="23">
        <v>10</v>
      </c>
      <c r="AA81" s="2"/>
      <c r="AB81" s="1082"/>
      <c r="AC81" s="685"/>
      <c r="AD81" s="685"/>
      <c r="AE81" s="685"/>
      <c r="AF81" s="685"/>
      <c r="AG81" s="685"/>
      <c r="AH81" s="685"/>
      <c r="AI81" s="685"/>
    </row>
    <row r="82" spans="2:35" ht="15.75">
      <c r="B82" s="24" t="s">
        <v>705</v>
      </c>
      <c r="C82" s="1000">
        <v>74</v>
      </c>
      <c r="D82" s="256" t="s">
        <v>23</v>
      </c>
      <c r="E82" s="256">
        <v>0.91400000000000003</v>
      </c>
      <c r="F82" s="256">
        <v>0.50700000000000001</v>
      </c>
      <c r="G82" s="995">
        <v>0.41599999999999998</v>
      </c>
      <c r="H82" s="24"/>
      <c r="I82" s="24"/>
      <c r="J82" s="995"/>
      <c r="K82" s="677"/>
      <c r="L82" s="995">
        <v>3.0499999999999999E-2</v>
      </c>
      <c r="M82" s="1030">
        <f t="shared" si="21"/>
        <v>1.6712328767123287E-4</v>
      </c>
      <c r="N82" s="1027">
        <v>0</v>
      </c>
      <c r="O82" s="1031">
        <f t="shared" si="15"/>
        <v>0</v>
      </c>
      <c r="P82" s="995">
        <v>0</v>
      </c>
      <c r="Q82" s="995">
        <f t="shared" si="16"/>
        <v>0</v>
      </c>
      <c r="R82" s="1003">
        <v>0</v>
      </c>
      <c r="S82" s="1003">
        <v>0.6</v>
      </c>
      <c r="T82" s="23">
        <v>0</v>
      </c>
      <c r="U82" s="23">
        <v>0.5</v>
      </c>
      <c r="V82" s="309">
        <v>0.25</v>
      </c>
      <c r="W82" s="23">
        <v>0</v>
      </c>
      <c r="X82" s="23">
        <v>40</v>
      </c>
      <c r="Y82" s="23">
        <v>0</v>
      </c>
      <c r="Z82" s="23">
        <v>10</v>
      </c>
      <c r="AA82" s="2"/>
      <c r="AB82" s="1082"/>
      <c r="AC82" s="685"/>
      <c r="AD82" s="685"/>
      <c r="AE82" s="685"/>
      <c r="AF82" s="685"/>
      <c r="AG82" s="685"/>
      <c r="AH82" s="685"/>
      <c r="AI82" s="685"/>
    </row>
    <row r="83" spans="2:35" ht="15.75">
      <c r="B83" s="675" t="s">
        <v>652</v>
      </c>
      <c r="C83" s="1000">
        <v>75</v>
      </c>
      <c r="D83" s="256" t="s">
        <v>23</v>
      </c>
      <c r="E83" s="256">
        <v>0.84499999999999997</v>
      </c>
      <c r="F83" s="256">
        <v>0.38700000000000001</v>
      </c>
      <c r="G83" s="995">
        <v>0.39</v>
      </c>
      <c r="H83" s="928"/>
      <c r="I83" s="928"/>
      <c r="J83" s="995"/>
      <c r="K83" s="677"/>
      <c r="L83" s="995">
        <v>3.0499999999999999E-2</v>
      </c>
      <c r="M83" s="1030">
        <f t="shared" si="21"/>
        <v>1.6712328767123287E-4</v>
      </c>
      <c r="N83" s="1027">
        <v>0</v>
      </c>
      <c r="O83" s="1031">
        <f t="shared" si="15"/>
        <v>0</v>
      </c>
      <c r="P83" s="995">
        <v>0</v>
      </c>
      <c r="Q83" s="995">
        <f t="shared" si="16"/>
        <v>0</v>
      </c>
      <c r="R83" s="1003">
        <v>0</v>
      </c>
      <c r="S83" s="1003">
        <v>0.6</v>
      </c>
      <c r="T83" s="23">
        <v>0</v>
      </c>
      <c r="U83" s="23">
        <v>0.5</v>
      </c>
      <c r="V83" s="309">
        <v>0.25</v>
      </c>
      <c r="W83" s="23">
        <v>0</v>
      </c>
      <c r="X83" s="23">
        <v>40</v>
      </c>
      <c r="Y83" s="23">
        <v>0</v>
      </c>
      <c r="Z83" s="23">
        <v>10</v>
      </c>
      <c r="AA83" s="2"/>
      <c r="AB83" s="1082"/>
      <c r="AC83" s="685"/>
      <c r="AD83" s="685"/>
      <c r="AE83" s="685"/>
      <c r="AF83" s="685"/>
      <c r="AG83" s="685"/>
      <c r="AH83" s="685"/>
      <c r="AI83" s="685"/>
    </row>
    <row r="84" spans="2:35" ht="15.75">
      <c r="B84" s="24" t="s">
        <v>706</v>
      </c>
      <c r="C84" s="1000">
        <v>76</v>
      </c>
      <c r="D84" s="256" t="s">
        <v>23</v>
      </c>
      <c r="E84" s="256">
        <v>0.47299999999999998</v>
      </c>
      <c r="F84" s="256">
        <v>0.25</v>
      </c>
      <c r="G84" s="995">
        <v>0.20499999999999999</v>
      </c>
      <c r="H84" s="1028"/>
      <c r="I84" s="24"/>
      <c r="J84" s="995"/>
      <c r="K84" s="995"/>
      <c r="L84" s="1032">
        <v>0.03</v>
      </c>
      <c r="M84" s="1030">
        <f t="shared" si="21"/>
        <v>1.6438356164383562E-4</v>
      </c>
      <c r="N84" s="1027">
        <v>0</v>
      </c>
      <c r="O84" s="1031">
        <f t="shared" si="15"/>
        <v>0</v>
      </c>
      <c r="P84" s="995">
        <v>0</v>
      </c>
      <c r="Q84" s="995">
        <f t="shared" si="16"/>
        <v>0</v>
      </c>
      <c r="R84" s="1003">
        <v>0</v>
      </c>
      <c r="S84" s="1003">
        <v>0.6</v>
      </c>
      <c r="T84" s="23">
        <v>0</v>
      </c>
      <c r="U84" s="23">
        <v>0.5</v>
      </c>
      <c r="V84" s="309">
        <v>0.25</v>
      </c>
      <c r="W84" s="23">
        <v>0</v>
      </c>
      <c r="X84" s="23">
        <v>40</v>
      </c>
      <c r="Y84" s="23">
        <v>0</v>
      </c>
      <c r="Z84" s="23">
        <v>10</v>
      </c>
      <c r="AA84" s="2"/>
      <c r="AB84" s="1082"/>
      <c r="AC84" s="685"/>
      <c r="AD84" s="685"/>
      <c r="AE84" s="685"/>
      <c r="AF84" s="685"/>
      <c r="AG84" s="685"/>
      <c r="AH84" s="685"/>
      <c r="AI84" s="685"/>
    </row>
    <row r="85" spans="2:35" ht="15.75">
      <c r="B85" s="24" t="s">
        <v>653</v>
      </c>
      <c r="C85" s="1000">
        <v>77</v>
      </c>
      <c r="D85" s="256" t="s">
        <v>23</v>
      </c>
      <c r="E85" s="256">
        <v>0.44400000000000001</v>
      </c>
      <c r="F85" s="256">
        <v>0.19500000000000001</v>
      </c>
      <c r="G85" s="995">
        <v>0.19600000000000001</v>
      </c>
      <c r="H85" s="928"/>
      <c r="I85" s="928"/>
      <c r="J85" s="995"/>
      <c r="K85" s="995"/>
      <c r="L85" s="1032">
        <v>0.03</v>
      </c>
      <c r="M85" s="1030">
        <f t="shared" si="21"/>
        <v>1.6438356164383562E-4</v>
      </c>
      <c r="N85" s="1027">
        <v>0</v>
      </c>
      <c r="O85" s="1031">
        <f t="shared" si="15"/>
        <v>0</v>
      </c>
      <c r="P85" s="995">
        <v>0</v>
      </c>
      <c r="Q85" s="995">
        <f t="shared" si="16"/>
        <v>0</v>
      </c>
      <c r="R85" s="1003">
        <v>0</v>
      </c>
      <c r="S85" s="1003">
        <v>0.6</v>
      </c>
      <c r="T85" s="23">
        <v>0</v>
      </c>
      <c r="U85" s="23">
        <v>0.5</v>
      </c>
      <c r="V85" s="309">
        <v>0.25</v>
      </c>
      <c r="W85" s="23">
        <v>0</v>
      </c>
      <c r="X85" s="23">
        <v>40</v>
      </c>
      <c r="Y85" s="23">
        <v>0</v>
      </c>
      <c r="Z85" s="23">
        <v>10</v>
      </c>
      <c r="AA85" s="2"/>
      <c r="AB85" s="1082"/>
      <c r="AC85" s="685"/>
      <c r="AD85" s="685"/>
      <c r="AE85" s="685"/>
      <c r="AF85" s="685"/>
      <c r="AG85" s="685"/>
      <c r="AH85" s="685"/>
      <c r="AI85" s="685"/>
    </row>
    <row r="86" spans="2:35" ht="15.75">
      <c r="B86" s="24" t="s">
        <v>707</v>
      </c>
      <c r="C86" s="1000">
        <v>78</v>
      </c>
      <c r="D86" s="256" t="s">
        <v>23</v>
      </c>
      <c r="E86" s="256">
        <v>0.751</v>
      </c>
      <c r="F86" s="256">
        <v>0.41899999999999998</v>
      </c>
      <c r="G86" s="995">
        <v>0.34200000000000003</v>
      </c>
      <c r="H86" s="928"/>
      <c r="I86" s="928"/>
      <c r="J86" s="995"/>
      <c r="K86" s="677"/>
      <c r="L86" s="995">
        <v>2.47E-2</v>
      </c>
      <c r="M86" s="1030">
        <f t="shared" si="21"/>
        <v>1.3534246575342464E-4</v>
      </c>
      <c r="N86" s="1027">
        <v>0</v>
      </c>
      <c r="O86" s="1031">
        <f t="shared" si="15"/>
        <v>0</v>
      </c>
      <c r="P86" s="995">
        <v>0</v>
      </c>
      <c r="Q86" s="995">
        <f t="shared" si="16"/>
        <v>0</v>
      </c>
      <c r="R86" s="1003">
        <v>0</v>
      </c>
      <c r="S86" s="1003">
        <v>0.6</v>
      </c>
      <c r="T86" s="23">
        <v>0</v>
      </c>
      <c r="U86" s="23">
        <v>0.5</v>
      </c>
      <c r="V86" s="309">
        <v>0.25</v>
      </c>
      <c r="W86" s="23">
        <v>0</v>
      </c>
      <c r="X86" s="23">
        <v>40</v>
      </c>
      <c r="Y86" s="23">
        <v>0</v>
      </c>
      <c r="Z86" s="23">
        <v>10</v>
      </c>
      <c r="AA86" s="2"/>
      <c r="AB86" s="1082"/>
      <c r="AC86" s="685"/>
      <c r="AD86" s="685"/>
      <c r="AE86" s="685"/>
      <c r="AF86" s="685"/>
      <c r="AG86" s="685"/>
      <c r="AH86" s="685"/>
      <c r="AI86" s="685"/>
    </row>
    <row r="87" spans="2:35" ht="15.75">
      <c r="B87" s="24" t="s">
        <v>30</v>
      </c>
      <c r="C87" s="1000">
        <v>79</v>
      </c>
      <c r="D87" s="256" t="s">
        <v>23</v>
      </c>
      <c r="E87" s="256">
        <v>0.70099999999999996</v>
      </c>
      <c r="F87" s="256">
        <v>0.33</v>
      </c>
      <c r="G87" s="995">
        <v>0.32500000000000001</v>
      </c>
      <c r="H87" s="928"/>
      <c r="I87" s="928"/>
      <c r="J87" s="995"/>
      <c r="K87" s="677"/>
      <c r="L87" s="995">
        <v>2.47E-2</v>
      </c>
      <c r="M87" s="1030">
        <f t="shared" si="21"/>
        <v>1.3534246575342464E-4</v>
      </c>
      <c r="N87" s="1027">
        <v>0</v>
      </c>
      <c r="O87" s="1031">
        <f t="shared" si="15"/>
        <v>0</v>
      </c>
      <c r="P87" s="995">
        <v>0</v>
      </c>
      <c r="Q87" s="995">
        <f t="shared" si="16"/>
        <v>0</v>
      </c>
      <c r="R87" s="1003">
        <v>0</v>
      </c>
      <c r="S87" s="1003">
        <v>0.6</v>
      </c>
      <c r="T87" s="23">
        <v>0</v>
      </c>
      <c r="U87" s="23">
        <v>0.5</v>
      </c>
      <c r="V87" s="309">
        <v>0.25</v>
      </c>
      <c r="W87" s="23">
        <v>0</v>
      </c>
      <c r="X87" s="23">
        <v>40</v>
      </c>
      <c r="Y87" s="23">
        <v>0</v>
      </c>
      <c r="Z87" s="23">
        <v>10</v>
      </c>
      <c r="AA87" s="2"/>
      <c r="AB87" s="1082"/>
      <c r="AC87" s="685"/>
      <c r="AD87" s="685"/>
      <c r="AE87" s="685"/>
      <c r="AF87" s="685"/>
      <c r="AG87" s="685"/>
      <c r="AH87" s="685"/>
      <c r="AI87" s="685"/>
    </row>
    <row r="88" spans="2:35" ht="15.75">
      <c r="B88" s="24" t="s">
        <v>708</v>
      </c>
      <c r="C88" s="1000">
        <v>80</v>
      </c>
      <c r="D88" s="256" t="s">
        <v>23</v>
      </c>
      <c r="E88" s="256">
        <v>5.7000000000000002E-2</v>
      </c>
      <c r="F88" s="256">
        <v>0.04</v>
      </c>
      <c r="G88" s="995">
        <v>3.1E-2</v>
      </c>
      <c r="H88" s="928"/>
      <c r="I88" s="928"/>
      <c r="J88" s="995"/>
      <c r="K88" s="677"/>
      <c r="L88" s="995">
        <v>6.6E-3</v>
      </c>
      <c r="M88" s="1030">
        <f t="shared" si="21"/>
        <v>3.6164383561643833E-5</v>
      </c>
      <c r="N88" s="1027">
        <v>0</v>
      </c>
      <c r="O88" s="1031">
        <f t="shared" si="15"/>
        <v>0</v>
      </c>
      <c r="P88" s="995">
        <v>0</v>
      </c>
      <c r="Q88" s="995">
        <f t="shared" si="16"/>
        <v>0</v>
      </c>
      <c r="R88" s="1003">
        <v>0</v>
      </c>
      <c r="S88" s="1003">
        <v>0.6</v>
      </c>
      <c r="T88" s="23">
        <v>0</v>
      </c>
      <c r="U88" s="23">
        <v>0.5</v>
      </c>
      <c r="V88" s="309">
        <v>0.25</v>
      </c>
      <c r="W88" s="23">
        <v>0</v>
      </c>
      <c r="X88" s="23">
        <v>40</v>
      </c>
      <c r="Y88" s="23">
        <v>0</v>
      </c>
      <c r="Z88" s="23">
        <v>10</v>
      </c>
      <c r="AA88" s="2"/>
      <c r="AB88" s="1082"/>
      <c r="AC88" s="685"/>
      <c r="AD88" s="685"/>
      <c r="AE88" s="685"/>
      <c r="AF88" s="685"/>
      <c r="AG88" s="685"/>
      <c r="AH88" s="685"/>
      <c r="AI88" s="685"/>
    </row>
    <row r="89" spans="2:35" ht="15.75">
      <c r="B89" s="24" t="s">
        <v>31</v>
      </c>
      <c r="C89" s="1000">
        <v>81</v>
      </c>
      <c r="D89" s="256" t="s">
        <v>22</v>
      </c>
      <c r="E89" s="256">
        <v>0.60499999999999998</v>
      </c>
      <c r="F89" s="256">
        <v>0.34399999999999997</v>
      </c>
      <c r="G89" s="995">
        <v>0.313</v>
      </c>
      <c r="H89" s="928"/>
      <c r="I89" s="928"/>
      <c r="J89" s="995"/>
      <c r="K89" s="677"/>
      <c r="L89" s="995">
        <v>2.8799999999999999E-2</v>
      </c>
      <c r="M89" s="1030">
        <f>L89/182.5</f>
        <v>1.5780821917808218E-4</v>
      </c>
      <c r="N89" s="1027">
        <v>0</v>
      </c>
      <c r="O89" s="1031">
        <f t="shared" si="15"/>
        <v>0</v>
      </c>
      <c r="P89" s="995">
        <v>0</v>
      </c>
      <c r="Q89" s="995">
        <f t="shared" si="16"/>
        <v>0</v>
      </c>
      <c r="R89" s="1003">
        <v>0</v>
      </c>
      <c r="S89" s="1003">
        <v>0.6</v>
      </c>
      <c r="T89" s="23">
        <v>0</v>
      </c>
      <c r="U89" s="23">
        <v>0.5</v>
      </c>
      <c r="V89" s="309">
        <v>0.25</v>
      </c>
      <c r="W89" s="23">
        <v>0</v>
      </c>
      <c r="X89" s="23">
        <v>40</v>
      </c>
      <c r="Y89" s="23">
        <v>0</v>
      </c>
      <c r="Z89" s="23">
        <v>10</v>
      </c>
      <c r="AA89" s="2"/>
      <c r="AB89" s="1082"/>
      <c r="AC89" s="685"/>
      <c r="AD89" s="685"/>
      <c r="AE89" s="685"/>
      <c r="AF89" s="685"/>
      <c r="AG89" s="685"/>
      <c r="AH89" s="685"/>
      <c r="AI89" s="685"/>
    </row>
    <row r="90" spans="2:35" ht="15.75">
      <c r="B90" s="24" t="s">
        <v>32</v>
      </c>
      <c r="C90" s="1000">
        <v>82</v>
      </c>
      <c r="D90" s="256" t="s">
        <v>22</v>
      </c>
      <c r="E90" s="256">
        <v>0.57599999999999996</v>
      </c>
      <c r="F90" s="256">
        <v>0.36699999999999999</v>
      </c>
      <c r="G90" s="995">
        <v>0.28399999999999997</v>
      </c>
      <c r="H90" s="928"/>
      <c r="I90" s="928"/>
      <c r="J90" s="995"/>
      <c r="K90" s="677"/>
      <c r="L90" s="995">
        <v>2.3E-2</v>
      </c>
      <c r="M90" s="1030">
        <f>L90/182.5</f>
        <v>1.2602739726027396E-4</v>
      </c>
      <c r="N90" s="1027">
        <v>0</v>
      </c>
      <c r="O90" s="1031">
        <f t="shared" si="15"/>
        <v>0</v>
      </c>
      <c r="P90" s="995">
        <v>0</v>
      </c>
      <c r="Q90" s="995">
        <f t="shared" si="16"/>
        <v>0</v>
      </c>
      <c r="R90" s="1003">
        <v>0</v>
      </c>
      <c r="S90" s="1003">
        <v>0.6</v>
      </c>
      <c r="T90" s="23">
        <v>0</v>
      </c>
      <c r="U90" s="23">
        <v>0.5</v>
      </c>
      <c r="V90" s="309">
        <v>0.25</v>
      </c>
      <c r="W90" s="23">
        <v>0</v>
      </c>
      <c r="X90" s="23">
        <v>40</v>
      </c>
      <c r="Y90" s="23">
        <v>0</v>
      </c>
      <c r="Z90" s="23">
        <v>10</v>
      </c>
      <c r="AA90" s="2"/>
      <c r="AB90" s="1082"/>
      <c r="AC90" s="685"/>
      <c r="AD90" s="685"/>
      <c r="AE90" s="685"/>
      <c r="AF90" s="685"/>
      <c r="AG90" s="685"/>
      <c r="AH90" s="685"/>
      <c r="AI90" s="685"/>
    </row>
    <row r="91" spans="2:35" ht="15.75">
      <c r="B91" s="24" t="s">
        <v>33</v>
      </c>
      <c r="C91" s="1000">
        <v>83</v>
      </c>
      <c r="D91" s="256" t="s">
        <v>23</v>
      </c>
      <c r="E91" s="256">
        <v>0.23100000000000001</v>
      </c>
      <c r="F91" s="256">
        <v>0.13300000000000001</v>
      </c>
      <c r="G91" s="1033">
        <v>0.121</v>
      </c>
      <c r="H91" s="928"/>
      <c r="I91" s="928"/>
      <c r="J91" s="995"/>
      <c r="K91" s="995"/>
      <c r="L91" s="995">
        <v>8.3000000000000001E-3</v>
      </c>
      <c r="M91" s="1034">
        <f>L91/182.5</f>
        <v>4.547945205479452E-5</v>
      </c>
      <c r="N91" s="1027">
        <v>0</v>
      </c>
      <c r="O91" s="1031">
        <f t="shared" si="15"/>
        <v>0</v>
      </c>
      <c r="P91" s="995">
        <v>0</v>
      </c>
      <c r="Q91" s="995">
        <f t="shared" si="16"/>
        <v>0</v>
      </c>
      <c r="R91" s="1003">
        <v>0</v>
      </c>
      <c r="S91" s="1003">
        <v>0.6</v>
      </c>
      <c r="T91" s="23">
        <v>0</v>
      </c>
      <c r="U91" s="23">
        <v>0.5</v>
      </c>
      <c r="V91" s="309">
        <v>0.25</v>
      </c>
      <c r="W91" s="23">
        <v>0</v>
      </c>
      <c r="X91" s="23">
        <v>40</v>
      </c>
      <c r="Y91" s="23">
        <v>0</v>
      </c>
      <c r="Z91" s="23">
        <v>10</v>
      </c>
      <c r="AA91" s="2"/>
      <c r="AB91" s="1082"/>
      <c r="AC91" s="685"/>
      <c r="AD91" s="685"/>
      <c r="AE91" s="685"/>
      <c r="AF91" s="685"/>
      <c r="AG91" s="685"/>
      <c r="AH91" s="685"/>
      <c r="AI91" s="685"/>
    </row>
    <row r="92" spans="2:35" ht="15.75">
      <c r="B92" s="24" t="s">
        <v>34</v>
      </c>
      <c r="C92" s="1000">
        <v>84</v>
      </c>
      <c r="D92" s="256" t="s">
        <v>23</v>
      </c>
      <c r="E92" s="256">
        <v>0.70199999999999996</v>
      </c>
      <c r="F92" s="256">
        <v>0.38700000000000001</v>
      </c>
      <c r="G92" s="995">
        <v>0.308</v>
      </c>
      <c r="H92" s="928"/>
      <c r="I92" s="928"/>
      <c r="J92" s="995"/>
      <c r="K92" s="995"/>
      <c r="L92" s="995">
        <v>1.8700000000000001E-2</v>
      </c>
      <c r="M92" s="1034">
        <f t="shared" ref="M92:M93" si="22">L92/182.5</f>
        <v>1.0246575342465754E-4</v>
      </c>
      <c r="N92" s="1027">
        <v>0</v>
      </c>
      <c r="O92" s="1031">
        <f t="shared" si="15"/>
        <v>0</v>
      </c>
      <c r="P92" s="995">
        <v>0</v>
      </c>
      <c r="Q92" s="995">
        <f t="shared" si="16"/>
        <v>0</v>
      </c>
      <c r="R92" s="1003">
        <v>0</v>
      </c>
      <c r="S92" s="1003">
        <v>0.6</v>
      </c>
      <c r="T92" s="23">
        <v>0</v>
      </c>
      <c r="U92" s="23">
        <v>0.5</v>
      </c>
      <c r="V92" s="309">
        <v>0.25</v>
      </c>
      <c r="W92" s="23">
        <v>0</v>
      </c>
      <c r="X92" s="23">
        <v>40</v>
      </c>
      <c r="Y92" s="23">
        <v>0</v>
      </c>
      <c r="Z92" s="23">
        <v>10</v>
      </c>
      <c r="AA92" s="2"/>
      <c r="AB92" s="1082"/>
      <c r="AC92" s="685"/>
      <c r="AD92" s="685"/>
      <c r="AE92" s="685"/>
      <c r="AF92" s="685"/>
      <c r="AG92" s="685"/>
      <c r="AH92" s="685"/>
      <c r="AI92" s="685"/>
    </row>
    <row r="93" spans="2:35" ht="15.75">
      <c r="B93" s="24" t="s">
        <v>35</v>
      </c>
      <c r="C93" s="1000">
        <v>85</v>
      </c>
      <c r="D93" s="256" t="s">
        <v>23</v>
      </c>
      <c r="E93" s="256">
        <v>1.0740000000000001</v>
      </c>
      <c r="F93" s="256">
        <v>0.33400000000000002</v>
      </c>
      <c r="G93" s="995">
        <v>1.03</v>
      </c>
      <c r="H93" s="928"/>
      <c r="I93" s="928"/>
      <c r="J93" s="995"/>
      <c r="K93" s="995"/>
      <c r="L93" s="995">
        <v>3.0300000000000001E-2</v>
      </c>
      <c r="M93" s="1034">
        <f t="shared" si="22"/>
        <v>1.6602739726027398E-4</v>
      </c>
      <c r="N93" s="1027">
        <v>0</v>
      </c>
      <c r="O93" s="1031">
        <f t="shared" si="15"/>
        <v>0</v>
      </c>
      <c r="P93" s="995">
        <v>0</v>
      </c>
      <c r="Q93" s="995">
        <f t="shared" si="16"/>
        <v>0</v>
      </c>
      <c r="R93" s="1003">
        <v>0</v>
      </c>
      <c r="S93" s="1003">
        <v>0.6</v>
      </c>
      <c r="T93" s="23">
        <v>0</v>
      </c>
      <c r="U93" s="23">
        <v>0.5</v>
      </c>
      <c r="V93" s="309">
        <v>0.25</v>
      </c>
      <c r="W93" s="23">
        <v>0</v>
      </c>
      <c r="X93" s="23">
        <v>40</v>
      </c>
      <c r="Y93" s="23">
        <v>0</v>
      </c>
      <c r="Z93" s="23">
        <v>10</v>
      </c>
      <c r="AA93" s="2"/>
      <c r="AB93" s="1082"/>
      <c r="AC93" s="685"/>
      <c r="AD93" s="685"/>
      <c r="AE93" s="685"/>
      <c r="AF93" s="685"/>
      <c r="AG93" s="685"/>
      <c r="AH93" s="685"/>
      <c r="AI93" s="685"/>
    </row>
    <row r="94" spans="2:35" ht="15.75">
      <c r="B94" s="24" t="s">
        <v>664</v>
      </c>
      <c r="C94" s="1000">
        <v>86</v>
      </c>
      <c r="D94" s="256" t="s">
        <v>22</v>
      </c>
      <c r="E94" s="256">
        <v>51.1</v>
      </c>
      <c r="F94" s="256">
        <v>23.4</v>
      </c>
      <c r="G94" s="995">
        <v>57.5</v>
      </c>
      <c r="H94" s="1023">
        <v>0</v>
      </c>
      <c r="I94" s="1023">
        <v>0</v>
      </c>
      <c r="J94" s="1023">
        <v>0</v>
      </c>
      <c r="K94" s="677"/>
      <c r="L94" s="995">
        <v>5.6</v>
      </c>
      <c r="M94" s="1035">
        <f>L94/182.5</f>
        <v>3.0684931506849315E-2</v>
      </c>
      <c r="N94" s="1027">
        <v>0</v>
      </c>
      <c r="O94" s="1031">
        <f t="shared" si="15"/>
        <v>0</v>
      </c>
      <c r="P94" s="995">
        <v>0</v>
      </c>
      <c r="Q94" s="995">
        <f t="shared" si="16"/>
        <v>0</v>
      </c>
      <c r="R94" s="1003">
        <v>0</v>
      </c>
      <c r="S94" s="1003">
        <v>0.55000000000000004</v>
      </c>
      <c r="T94" s="23">
        <v>0</v>
      </c>
      <c r="U94" s="23">
        <v>0.5</v>
      </c>
      <c r="V94" s="309">
        <v>0.25</v>
      </c>
      <c r="W94" s="23">
        <v>0</v>
      </c>
      <c r="X94" s="23">
        <v>45</v>
      </c>
      <c r="Y94" s="23">
        <v>0</v>
      </c>
      <c r="Z94" s="23">
        <v>5</v>
      </c>
      <c r="AA94" s="2"/>
      <c r="AB94" s="1082"/>
      <c r="AC94" s="685"/>
      <c r="AD94" s="685"/>
      <c r="AE94" s="685"/>
      <c r="AF94" s="685"/>
      <c r="AG94" s="685"/>
      <c r="AH94" s="685"/>
      <c r="AI94" s="685"/>
    </row>
    <row r="95" spans="2:35" ht="18" customHeight="1">
      <c r="B95" s="24" t="s">
        <v>665</v>
      </c>
      <c r="C95" s="1000">
        <v>87</v>
      </c>
      <c r="D95" s="256" t="s">
        <v>22</v>
      </c>
      <c r="E95" s="256">
        <v>53.6</v>
      </c>
      <c r="F95" s="256">
        <v>23.4</v>
      </c>
      <c r="G95" s="995">
        <v>67</v>
      </c>
      <c r="H95" s="49">
        <v>0</v>
      </c>
      <c r="I95" s="49">
        <v>0</v>
      </c>
      <c r="J95" s="49">
        <v>0</v>
      </c>
      <c r="K95" s="677"/>
      <c r="L95" s="995">
        <v>5.6</v>
      </c>
      <c r="M95" s="1035">
        <f t="shared" ref="M95:M101" si="23">L95/182.5</f>
        <v>3.0684931506849315E-2</v>
      </c>
      <c r="N95" s="1027">
        <v>0</v>
      </c>
      <c r="O95" s="1031">
        <f t="shared" si="15"/>
        <v>0</v>
      </c>
      <c r="P95" s="995">
        <v>0</v>
      </c>
      <c r="Q95" s="995">
        <f t="shared" si="16"/>
        <v>0</v>
      </c>
      <c r="R95" s="1003">
        <v>0</v>
      </c>
      <c r="S95" s="1003">
        <v>0.55000000000000004</v>
      </c>
      <c r="T95" s="23">
        <v>0</v>
      </c>
      <c r="U95" s="23">
        <v>0.5</v>
      </c>
      <c r="V95" s="309">
        <v>0.25</v>
      </c>
      <c r="W95" s="23">
        <v>0</v>
      </c>
      <c r="X95" s="23">
        <v>45</v>
      </c>
      <c r="Y95" s="23">
        <v>0</v>
      </c>
      <c r="Z95" s="23">
        <v>5</v>
      </c>
      <c r="AA95" s="2"/>
      <c r="AB95" s="1082"/>
      <c r="AC95" s="685"/>
      <c r="AD95" s="685"/>
      <c r="AE95" s="685"/>
      <c r="AF95" s="685"/>
      <c r="AG95" s="685"/>
      <c r="AH95" s="685"/>
      <c r="AI95" s="685"/>
    </row>
    <row r="96" spans="2:35" ht="15.75">
      <c r="B96" s="24" t="s">
        <v>186</v>
      </c>
      <c r="C96" s="1000">
        <v>88</v>
      </c>
      <c r="D96" s="256" t="s">
        <v>22</v>
      </c>
      <c r="E96" s="256">
        <v>34.9</v>
      </c>
      <c r="F96" s="256">
        <v>16.5</v>
      </c>
      <c r="G96" s="995">
        <v>47</v>
      </c>
      <c r="H96" s="49">
        <v>0</v>
      </c>
      <c r="I96" s="49">
        <v>0</v>
      </c>
      <c r="J96" s="49">
        <v>0</v>
      </c>
      <c r="K96" s="677"/>
      <c r="L96" s="995">
        <v>3.4</v>
      </c>
      <c r="M96" s="1035">
        <f t="shared" si="23"/>
        <v>1.8630136986301369E-2</v>
      </c>
      <c r="N96" s="1027">
        <v>0</v>
      </c>
      <c r="O96" s="1031">
        <f t="shared" si="15"/>
        <v>0</v>
      </c>
      <c r="P96" s="995">
        <v>0</v>
      </c>
      <c r="Q96" s="995">
        <f t="shared" si="16"/>
        <v>0</v>
      </c>
      <c r="R96" s="1003">
        <v>0</v>
      </c>
      <c r="S96" s="1003">
        <v>0.55000000000000004</v>
      </c>
      <c r="T96" s="23">
        <v>0</v>
      </c>
      <c r="U96" s="23">
        <v>0.5</v>
      </c>
      <c r="V96" s="309">
        <v>0.25</v>
      </c>
      <c r="W96" s="23">
        <v>0</v>
      </c>
      <c r="X96" s="23">
        <v>45</v>
      </c>
      <c r="Y96" s="23">
        <v>0</v>
      </c>
      <c r="Z96" s="23">
        <v>5</v>
      </c>
      <c r="AA96" s="2"/>
      <c r="AB96" s="1082"/>
      <c r="AC96" s="685"/>
      <c r="AD96" s="685"/>
      <c r="AE96" s="685"/>
      <c r="AF96" s="685"/>
      <c r="AG96" s="685"/>
      <c r="AH96" s="685"/>
      <c r="AI96" s="685"/>
    </row>
    <row r="97" spans="2:35" ht="15.75">
      <c r="B97" s="24" t="s">
        <v>187</v>
      </c>
      <c r="C97" s="1000">
        <v>89</v>
      </c>
      <c r="D97" s="256" t="s">
        <v>22</v>
      </c>
      <c r="E97" s="256">
        <v>33.4</v>
      </c>
      <c r="F97" s="256">
        <v>15.3</v>
      </c>
      <c r="G97" s="995">
        <v>51</v>
      </c>
      <c r="H97" s="49">
        <v>0</v>
      </c>
      <c r="I97" s="49">
        <v>0</v>
      </c>
      <c r="J97" s="49">
        <v>0</v>
      </c>
      <c r="K97" s="677"/>
      <c r="L97" s="995">
        <v>3.4</v>
      </c>
      <c r="M97" s="1035">
        <f t="shared" si="23"/>
        <v>1.8630136986301369E-2</v>
      </c>
      <c r="N97" s="1027">
        <v>0</v>
      </c>
      <c r="O97" s="1031">
        <f t="shared" si="15"/>
        <v>0</v>
      </c>
      <c r="P97" s="995">
        <v>0</v>
      </c>
      <c r="Q97" s="995">
        <f t="shared" si="16"/>
        <v>0</v>
      </c>
      <c r="R97" s="1003">
        <v>0</v>
      </c>
      <c r="S97" s="1003">
        <v>0.55000000000000004</v>
      </c>
      <c r="T97" s="23">
        <v>0</v>
      </c>
      <c r="U97" s="23">
        <v>0.5</v>
      </c>
      <c r="V97" s="309">
        <v>0.25</v>
      </c>
      <c r="W97" s="23">
        <v>0</v>
      </c>
      <c r="X97" s="23">
        <v>45</v>
      </c>
      <c r="Y97" s="23">
        <v>0</v>
      </c>
      <c r="Z97" s="23">
        <v>5</v>
      </c>
      <c r="AA97" s="2"/>
      <c r="AB97" s="1082"/>
      <c r="AC97" s="685"/>
      <c r="AD97" s="685"/>
      <c r="AE97" s="685"/>
      <c r="AF97" s="685"/>
      <c r="AG97" s="685"/>
      <c r="AH97" s="685"/>
      <c r="AI97" s="685"/>
    </row>
    <row r="98" spans="2:35" ht="15.75" customHeight="1">
      <c r="B98" s="24" t="s">
        <v>188</v>
      </c>
      <c r="C98" s="1000">
        <v>90</v>
      </c>
      <c r="D98" s="256" t="s">
        <v>22</v>
      </c>
      <c r="E98" s="256">
        <v>63.5</v>
      </c>
      <c r="F98" s="256">
        <v>28</v>
      </c>
      <c r="G98" s="995">
        <v>73.7</v>
      </c>
      <c r="H98" s="49">
        <v>0</v>
      </c>
      <c r="I98" s="49">
        <v>0</v>
      </c>
      <c r="J98" s="49">
        <v>0</v>
      </c>
      <c r="K98" s="677"/>
      <c r="L98" s="995">
        <v>5.6</v>
      </c>
      <c r="M98" s="1035">
        <f t="shared" si="23"/>
        <v>3.0684931506849315E-2</v>
      </c>
      <c r="N98" s="1027">
        <v>0</v>
      </c>
      <c r="O98" s="1031">
        <f t="shared" si="15"/>
        <v>0</v>
      </c>
      <c r="P98" s="995">
        <v>0</v>
      </c>
      <c r="Q98" s="995">
        <f t="shared" si="16"/>
        <v>0</v>
      </c>
      <c r="R98" s="1003">
        <v>0</v>
      </c>
      <c r="S98" s="1003">
        <v>0.55000000000000004</v>
      </c>
      <c r="T98" s="23">
        <v>0</v>
      </c>
      <c r="U98" s="23">
        <v>0.5</v>
      </c>
      <c r="V98" s="309">
        <v>0.25</v>
      </c>
      <c r="W98" s="23">
        <v>0</v>
      </c>
      <c r="X98" s="23">
        <v>45</v>
      </c>
      <c r="Y98" s="23">
        <v>0</v>
      </c>
      <c r="Z98" s="23">
        <v>5</v>
      </c>
      <c r="AA98" s="2"/>
      <c r="AB98" s="1082"/>
      <c r="AC98" s="685"/>
      <c r="AD98" s="685"/>
      <c r="AE98" s="685"/>
      <c r="AF98" s="685"/>
      <c r="AG98" s="685"/>
      <c r="AH98" s="685"/>
      <c r="AI98" s="685"/>
    </row>
    <row r="99" spans="2:35" ht="17.25" customHeight="1">
      <c r="B99" s="24" t="s">
        <v>189</v>
      </c>
      <c r="C99" s="1000">
        <v>91</v>
      </c>
      <c r="D99" s="256" t="s">
        <v>22</v>
      </c>
      <c r="E99" s="256">
        <v>42.3</v>
      </c>
      <c r="F99" s="256">
        <v>18.399999999999999</v>
      </c>
      <c r="G99" s="995">
        <v>56.3</v>
      </c>
      <c r="H99" s="49">
        <v>0</v>
      </c>
      <c r="I99" s="49">
        <v>0</v>
      </c>
      <c r="J99" s="49">
        <v>0</v>
      </c>
      <c r="K99" s="677"/>
      <c r="L99" s="995">
        <v>3.4</v>
      </c>
      <c r="M99" s="1035">
        <f t="shared" si="23"/>
        <v>1.8630136986301369E-2</v>
      </c>
      <c r="N99" s="1027">
        <v>0</v>
      </c>
      <c r="O99" s="1031">
        <f t="shared" si="15"/>
        <v>0</v>
      </c>
      <c r="P99" s="995">
        <v>0</v>
      </c>
      <c r="Q99" s="995">
        <f t="shared" si="16"/>
        <v>0</v>
      </c>
      <c r="R99" s="1003">
        <v>0</v>
      </c>
      <c r="S99" s="1003">
        <v>0.55000000000000004</v>
      </c>
      <c r="T99" s="23">
        <v>0</v>
      </c>
      <c r="U99" s="23">
        <v>0.5</v>
      </c>
      <c r="V99" s="309">
        <v>0.25</v>
      </c>
      <c r="W99" s="23">
        <v>0</v>
      </c>
      <c r="X99" s="23">
        <v>45</v>
      </c>
      <c r="Y99" s="23">
        <v>0</v>
      </c>
      <c r="Z99" s="23">
        <v>5</v>
      </c>
      <c r="AA99" s="2"/>
      <c r="AB99" s="1082"/>
      <c r="AC99" s="685"/>
      <c r="AD99" s="685"/>
      <c r="AE99" s="685"/>
      <c r="AF99" s="685"/>
      <c r="AG99" s="685"/>
      <c r="AH99" s="685"/>
      <c r="AI99" s="685"/>
    </row>
    <row r="100" spans="2:35" ht="15.75" customHeight="1">
      <c r="B100" s="24" t="s">
        <v>190</v>
      </c>
      <c r="C100" s="1000">
        <v>92</v>
      </c>
      <c r="D100" s="256" t="s">
        <v>22</v>
      </c>
      <c r="E100" s="256">
        <v>44.5</v>
      </c>
      <c r="F100" s="256">
        <v>18.899999999999999</v>
      </c>
      <c r="G100" s="995">
        <v>54.3</v>
      </c>
      <c r="H100" s="49">
        <v>0</v>
      </c>
      <c r="I100" s="49">
        <v>0</v>
      </c>
      <c r="J100" s="49">
        <v>0</v>
      </c>
      <c r="K100" s="677"/>
      <c r="L100" s="995">
        <v>3.4</v>
      </c>
      <c r="M100" s="1035">
        <f t="shared" si="23"/>
        <v>1.8630136986301369E-2</v>
      </c>
      <c r="N100" s="1027">
        <v>0</v>
      </c>
      <c r="O100" s="1031">
        <f t="shared" si="15"/>
        <v>0</v>
      </c>
      <c r="P100" s="995">
        <v>0</v>
      </c>
      <c r="Q100" s="995">
        <f t="shared" si="16"/>
        <v>0</v>
      </c>
      <c r="R100" s="1003">
        <v>0</v>
      </c>
      <c r="S100" s="1003">
        <v>0.55000000000000004</v>
      </c>
      <c r="T100" s="23">
        <v>0</v>
      </c>
      <c r="U100" s="23">
        <v>0.5</v>
      </c>
      <c r="V100" s="309">
        <v>0.25</v>
      </c>
      <c r="W100" s="23">
        <v>0</v>
      </c>
      <c r="X100" s="23">
        <v>45</v>
      </c>
      <c r="Y100" s="23">
        <v>0</v>
      </c>
      <c r="Z100" s="23">
        <v>5</v>
      </c>
      <c r="AA100" s="2"/>
      <c r="AB100" s="1082"/>
      <c r="AC100" s="685"/>
      <c r="AD100" s="685"/>
      <c r="AE100" s="685"/>
      <c r="AF100" s="685"/>
      <c r="AG100" s="685"/>
      <c r="AH100" s="685"/>
      <c r="AI100" s="685"/>
    </row>
    <row r="101" spans="2:35" ht="15.75">
      <c r="B101" s="24" t="s">
        <v>191</v>
      </c>
      <c r="C101" s="1000">
        <v>93</v>
      </c>
      <c r="D101" s="256" t="s">
        <v>22</v>
      </c>
      <c r="E101" s="256">
        <v>31.6</v>
      </c>
      <c r="F101" s="256">
        <v>13.5</v>
      </c>
      <c r="G101" s="995">
        <v>42</v>
      </c>
      <c r="H101" s="49">
        <v>0</v>
      </c>
      <c r="I101" s="49">
        <v>0</v>
      </c>
      <c r="J101" s="49">
        <v>0</v>
      </c>
      <c r="K101" s="677"/>
      <c r="L101" s="1036">
        <v>1.7</v>
      </c>
      <c r="M101" s="1035">
        <f t="shared" si="23"/>
        <v>9.3150684931506845E-3</v>
      </c>
      <c r="N101" s="1027">
        <v>0</v>
      </c>
      <c r="O101" s="1031">
        <f t="shared" si="15"/>
        <v>0</v>
      </c>
      <c r="P101" s="995">
        <v>0</v>
      </c>
      <c r="Q101" s="995">
        <f t="shared" si="16"/>
        <v>0</v>
      </c>
      <c r="R101" s="1003">
        <v>0</v>
      </c>
      <c r="S101" s="1003">
        <v>0.55000000000000004</v>
      </c>
      <c r="T101" s="23">
        <v>0</v>
      </c>
      <c r="U101" s="23">
        <v>0.5</v>
      </c>
      <c r="V101" s="309">
        <v>0.25</v>
      </c>
      <c r="W101" s="23">
        <v>0</v>
      </c>
      <c r="X101" s="23">
        <v>45</v>
      </c>
      <c r="Y101" s="23">
        <v>0</v>
      </c>
      <c r="Z101" s="23">
        <v>5</v>
      </c>
      <c r="AA101" s="2"/>
      <c r="AB101" s="1082"/>
      <c r="AC101" s="685"/>
      <c r="AD101" s="685"/>
      <c r="AE101" s="685"/>
      <c r="AF101" s="685"/>
      <c r="AG101" s="685"/>
      <c r="AH101" s="685"/>
      <c r="AI101" s="685"/>
    </row>
    <row r="102" spans="2:35" ht="15.75">
      <c r="B102" s="24" t="s">
        <v>728</v>
      </c>
      <c r="C102" s="1000">
        <v>94</v>
      </c>
      <c r="D102" s="256" t="s">
        <v>22</v>
      </c>
      <c r="E102" s="256">
        <v>2.6</v>
      </c>
      <c r="F102" s="256">
        <v>1.5</v>
      </c>
      <c r="G102" s="995">
        <v>2.1</v>
      </c>
      <c r="H102" s="49">
        <v>0</v>
      </c>
      <c r="I102" s="49">
        <v>0</v>
      </c>
      <c r="J102" s="49">
        <v>0</v>
      </c>
      <c r="K102" s="677"/>
      <c r="L102" s="995">
        <v>0.13950000000000001</v>
      </c>
      <c r="M102" s="1037">
        <f>L102/182.5</f>
        <v>7.643835616438357E-4</v>
      </c>
      <c r="N102" s="1027">
        <v>0.10199999999999999</v>
      </c>
      <c r="O102" s="1002">
        <f>N102/182.5</f>
        <v>5.5890410958904101E-4</v>
      </c>
      <c r="P102" s="995">
        <v>0</v>
      </c>
      <c r="Q102" s="995">
        <f t="shared" si="16"/>
        <v>0</v>
      </c>
      <c r="R102" s="1003">
        <v>0</v>
      </c>
      <c r="S102" s="1003">
        <v>0.55000000000000004</v>
      </c>
      <c r="T102" s="23">
        <v>0</v>
      </c>
      <c r="U102" s="23">
        <v>0.5</v>
      </c>
      <c r="V102" s="309">
        <v>0.25</v>
      </c>
      <c r="W102" s="23">
        <v>0</v>
      </c>
      <c r="X102" s="23">
        <v>45</v>
      </c>
      <c r="Y102" s="23">
        <v>0</v>
      </c>
      <c r="Z102" s="23">
        <v>5</v>
      </c>
      <c r="AA102" s="2"/>
      <c r="AB102" s="1082"/>
      <c r="AC102" s="685"/>
      <c r="AD102" s="685"/>
      <c r="AE102" s="685"/>
      <c r="AF102" s="685"/>
      <c r="AG102" s="685"/>
      <c r="AH102" s="685"/>
      <c r="AI102" s="685"/>
    </row>
    <row r="103" spans="2:35" ht="15.75">
      <c r="B103" s="24" t="s">
        <v>729</v>
      </c>
      <c r="C103" s="1000">
        <v>95</v>
      </c>
      <c r="D103" s="256" t="s">
        <v>22</v>
      </c>
      <c r="E103" s="256">
        <v>9.6999999999999993</v>
      </c>
      <c r="F103" s="256">
        <v>5.4</v>
      </c>
      <c r="G103" s="995">
        <v>8.3000000000000007</v>
      </c>
      <c r="H103" s="49">
        <v>0</v>
      </c>
      <c r="I103" s="49">
        <v>0</v>
      </c>
      <c r="J103" s="49">
        <v>0</v>
      </c>
      <c r="K103" s="677"/>
      <c r="L103" s="995">
        <v>0.60760000000000003</v>
      </c>
      <c r="M103" s="1037">
        <f t="shared" ref="M103:M104" si="24">L103/182.5</f>
        <v>3.329315068493151E-3</v>
      </c>
      <c r="N103" s="1027">
        <v>0.4476</v>
      </c>
      <c r="O103" s="1002">
        <f t="shared" ref="O103:O107" si="25">N103/182.5</f>
        <v>2.4526027397260273E-3</v>
      </c>
      <c r="P103" s="995">
        <v>0</v>
      </c>
      <c r="Q103" s="995">
        <f t="shared" ref="Q103:Q107" si="26">P103/182.5</f>
        <v>0</v>
      </c>
      <c r="R103" s="1003">
        <v>0</v>
      </c>
      <c r="S103" s="1003">
        <v>0.55000000000000004</v>
      </c>
      <c r="T103" s="23">
        <v>0</v>
      </c>
      <c r="U103" s="23">
        <v>0.5</v>
      </c>
      <c r="V103" s="309">
        <v>0.25</v>
      </c>
      <c r="W103" s="23">
        <v>0</v>
      </c>
      <c r="X103" s="23">
        <v>45</v>
      </c>
      <c r="Y103" s="23">
        <v>0</v>
      </c>
      <c r="Z103" s="23">
        <v>5</v>
      </c>
      <c r="AA103" s="2"/>
      <c r="AB103" s="1082"/>
      <c r="AC103" s="685"/>
      <c r="AD103" s="685"/>
      <c r="AE103" s="685"/>
      <c r="AF103" s="685"/>
      <c r="AG103" s="685"/>
      <c r="AH103" s="685"/>
      <c r="AI103" s="685"/>
    </row>
    <row r="104" spans="2:35" ht="15.75">
      <c r="B104" s="24" t="s">
        <v>666</v>
      </c>
      <c r="C104" s="1000">
        <v>96</v>
      </c>
      <c r="D104" s="256" t="s">
        <v>22</v>
      </c>
      <c r="E104" s="256">
        <v>0.7</v>
      </c>
      <c r="F104" s="256">
        <v>0.4</v>
      </c>
      <c r="G104" s="995">
        <v>0.9</v>
      </c>
      <c r="H104" s="49">
        <v>0</v>
      </c>
      <c r="I104" s="49">
        <v>0</v>
      </c>
      <c r="J104" s="49">
        <v>0</v>
      </c>
      <c r="K104" s="677"/>
      <c r="L104" s="995">
        <v>5.6300000000000003E-2</v>
      </c>
      <c r="M104" s="1037">
        <f t="shared" si="24"/>
        <v>3.0849315068493151E-4</v>
      </c>
      <c r="N104" s="1027">
        <v>4.1300000000000003E-2</v>
      </c>
      <c r="O104" s="1030">
        <f>N104/182.5</f>
        <v>2.2630136986301371E-4</v>
      </c>
      <c r="P104" s="995">
        <v>0</v>
      </c>
      <c r="Q104" s="995">
        <f t="shared" si="26"/>
        <v>0</v>
      </c>
      <c r="R104" s="1003">
        <v>0</v>
      </c>
      <c r="S104" s="1003">
        <v>0.55000000000000004</v>
      </c>
      <c r="T104" s="23">
        <v>0</v>
      </c>
      <c r="U104" s="23">
        <v>0.5</v>
      </c>
      <c r="V104" s="309">
        <v>0.25</v>
      </c>
      <c r="W104" s="23">
        <v>0</v>
      </c>
      <c r="X104" s="23">
        <v>45</v>
      </c>
      <c r="Y104" s="23">
        <v>0</v>
      </c>
      <c r="Z104" s="23">
        <v>5</v>
      </c>
      <c r="AA104" s="2"/>
      <c r="AB104" s="1082"/>
      <c r="AC104" s="685"/>
      <c r="AD104" s="685"/>
      <c r="AE104" s="685"/>
      <c r="AF104" s="685"/>
      <c r="AG104" s="685"/>
      <c r="AH104" s="685"/>
      <c r="AI104" s="685"/>
    </row>
    <row r="105" spans="2:35" ht="15.75">
      <c r="B105" s="938" t="s">
        <v>725</v>
      </c>
      <c r="C105" s="1000">
        <v>97</v>
      </c>
      <c r="D105" s="256" t="s">
        <v>22</v>
      </c>
      <c r="E105" s="256">
        <v>20.100000000000001</v>
      </c>
      <c r="F105" s="256">
        <v>6.2</v>
      </c>
      <c r="G105" s="995">
        <v>6.2</v>
      </c>
      <c r="H105" s="995">
        <v>18.2</v>
      </c>
      <c r="I105" s="995">
        <v>5.3</v>
      </c>
      <c r="J105" s="995">
        <v>20.9</v>
      </c>
      <c r="K105" s="995"/>
      <c r="L105" s="995">
        <v>0.55000000000000004</v>
      </c>
      <c r="M105" s="1035">
        <f>L105/182.5</f>
        <v>3.0136986301369864E-3</v>
      </c>
      <c r="N105" s="1027">
        <v>0</v>
      </c>
      <c r="O105" s="1031">
        <v>0</v>
      </c>
      <c r="P105" s="995">
        <v>0</v>
      </c>
      <c r="Q105" s="995">
        <f t="shared" si="26"/>
        <v>0</v>
      </c>
      <c r="R105" s="1003">
        <v>0</v>
      </c>
      <c r="S105" s="1003">
        <v>0.55000000000000004</v>
      </c>
      <c r="T105" s="23">
        <v>0</v>
      </c>
      <c r="U105" s="23">
        <v>0.5</v>
      </c>
      <c r="V105" s="309">
        <v>0.25</v>
      </c>
      <c r="W105" s="23">
        <v>0</v>
      </c>
      <c r="X105" s="23">
        <v>45</v>
      </c>
      <c r="Y105" s="23">
        <v>0</v>
      </c>
      <c r="Z105" s="23">
        <v>5</v>
      </c>
      <c r="AA105" s="2"/>
      <c r="AB105" s="1082"/>
      <c r="AC105" s="685"/>
      <c r="AD105" s="685"/>
      <c r="AE105" s="685"/>
      <c r="AF105" s="685"/>
      <c r="AG105" s="685"/>
      <c r="AH105" s="685"/>
      <c r="AI105" s="685"/>
    </row>
    <row r="106" spans="2:35" ht="16.5" customHeight="1">
      <c r="B106" s="938" t="s">
        <v>726</v>
      </c>
      <c r="C106" s="1000">
        <v>98</v>
      </c>
      <c r="D106" s="256" t="s">
        <v>22</v>
      </c>
      <c r="E106" s="256">
        <v>17.600000000000001</v>
      </c>
      <c r="F106" s="256">
        <v>5</v>
      </c>
      <c r="G106" s="995">
        <v>5</v>
      </c>
      <c r="H106" s="995">
        <v>17.3</v>
      </c>
      <c r="I106" s="995">
        <v>5</v>
      </c>
      <c r="J106" s="995">
        <v>16</v>
      </c>
      <c r="K106" s="995"/>
      <c r="L106" s="995">
        <v>0.55000000000000004</v>
      </c>
      <c r="M106" s="1035">
        <f t="shared" ref="M106:M107" si="27">L106/182.5</f>
        <v>3.0136986301369864E-3</v>
      </c>
      <c r="N106" s="1027">
        <v>0</v>
      </c>
      <c r="O106" s="1031">
        <v>0</v>
      </c>
      <c r="P106" s="995">
        <v>0</v>
      </c>
      <c r="Q106" s="995">
        <f t="shared" si="26"/>
        <v>0</v>
      </c>
      <c r="R106" s="1003">
        <v>0</v>
      </c>
      <c r="S106" s="1003">
        <v>0.55000000000000004</v>
      </c>
      <c r="T106" s="23">
        <v>0</v>
      </c>
      <c r="U106" s="23">
        <v>0.5</v>
      </c>
      <c r="V106" s="309">
        <v>0.25</v>
      </c>
      <c r="W106" s="23">
        <v>0</v>
      </c>
      <c r="X106" s="23">
        <v>45</v>
      </c>
      <c r="Y106" s="23">
        <v>0</v>
      </c>
      <c r="Z106" s="23">
        <v>5</v>
      </c>
      <c r="AA106" s="2"/>
      <c r="AB106" s="1082"/>
      <c r="AC106" s="685"/>
      <c r="AD106" s="685"/>
      <c r="AE106" s="685"/>
      <c r="AF106" s="685"/>
      <c r="AG106" s="685"/>
      <c r="AH106" s="685"/>
      <c r="AI106" s="685"/>
    </row>
    <row r="107" spans="2:35" ht="15.75">
      <c r="B107" s="938" t="s">
        <v>724</v>
      </c>
      <c r="C107" s="1000">
        <v>99</v>
      </c>
      <c r="D107" s="256" t="s">
        <v>22</v>
      </c>
      <c r="E107" s="256">
        <v>15.2</v>
      </c>
      <c r="F107" s="256">
        <v>5.7</v>
      </c>
      <c r="G107" s="995">
        <v>18</v>
      </c>
      <c r="H107" s="995">
        <v>11.7</v>
      </c>
      <c r="I107" s="995">
        <v>3.8</v>
      </c>
      <c r="J107" s="995">
        <v>15.3</v>
      </c>
      <c r="K107" s="995"/>
      <c r="L107" s="995">
        <v>0.5</v>
      </c>
      <c r="M107" s="1035">
        <f t="shared" si="27"/>
        <v>2.7397260273972603E-3</v>
      </c>
      <c r="N107" s="1027">
        <v>0</v>
      </c>
      <c r="O107" s="1031">
        <f t="shared" si="25"/>
        <v>0</v>
      </c>
      <c r="P107" s="995">
        <v>0</v>
      </c>
      <c r="Q107" s="995">
        <f t="shared" si="26"/>
        <v>0</v>
      </c>
      <c r="R107" s="1003">
        <v>0</v>
      </c>
      <c r="S107" s="1003">
        <v>0.55000000000000004</v>
      </c>
      <c r="T107" s="23">
        <v>0</v>
      </c>
      <c r="U107" s="23">
        <v>0.5</v>
      </c>
      <c r="V107" s="309">
        <v>0.25</v>
      </c>
      <c r="W107" s="23">
        <v>0</v>
      </c>
      <c r="X107" s="23">
        <v>45</v>
      </c>
      <c r="Y107" s="23">
        <v>0</v>
      </c>
      <c r="Z107" s="23">
        <v>5</v>
      </c>
      <c r="AA107" s="2"/>
      <c r="AB107" s="1082"/>
      <c r="AC107" s="685"/>
      <c r="AD107" s="685"/>
      <c r="AE107" s="685"/>
      <c r="AF107" s="685"/>
      <c r="AG107" s="685"/>
      <c r="AH107" s="685"/>
      <c r="AI107" s="685"/>
    </row>
    <row r="108" spans="2:35" ht="15.75">
      <c r="B108" s="938" t="s">
        <v>727</v>
      </c>
      <c r="C108" s="1000">
        <v>100</v>
      </c>
      <c r="D108" s="256" t="s">
        <v>22</v>
      </c>
      <c r="E108" s="256">
        <v>21.6</v>
      </c>
      <c r="F108" s="256">
        <v>6.2</v>
      </c>
      <c r="G108" s="995">
        <v>24</v>
      </c>
      <c r="H108" s="995">
        <v>21.3</v>
      </c>
      <c r="I108" s="995">
        <v>6.1</v>
      </c>
      <c r="J108" s="995">
        <v>23.6</v>
      </c>
      <c r="K108" s="995"/>
      <c r="L108" s="995">
        <v>0</v>
      </c>
      <c r="M108" s="1038">
        <f>L108/182.5</f>
        <v>0</v>
      </c>
      <c r="N108" s="1027">
        <v>0</v>
      </c>
      <c r="O108" s="1031">
        <f>N108/182.5</f>
        <v>0</v>
      </c>
      <c r="P108" s="995">
        <v>0</v>
      </c>
      <c r="Q108" s="995">
        <f>P108/182.5</f>
        <v>0</v>
      </c>
      <c r="R108" s="1003">
        <v>0</v>
      </c>
      <c r="S108" s="1003">
        <v>0.55000000000000004</v>
      </c>
      <c r="T108" s="23">
        <v>0</v>
      </c>
      <c r="U108" s="23">
        <v>0.5</v>
      </c>
      <c r="V108" s="309">
        <v>0.25</v>
      </c>
      <c r="W108" s="23">
        <v>0</v>
      </c>
      <c r="X108" s="23">
        <v>45</v>
      </c>
      <c r="Y108" s="23">
        <v>0</v>
      </c>
      <c r="Z108" s="23">
        <v>5</v>
      </c>
      <c r="AA108" s="2"/>
      <c r="AB108" s="1082"/>
      <c r="AC108" s="685"/>
      <c r="AD108" s="685"/>
      <c r="AE108" s="685"/>
      <c r="AF108" s="685"/>
      <c r="AG108" s="685"/>
      <c r="AH108" s="685"/>
      <c r="AI108" s="685"/>
    </row>
    <row r="109" spans="2:35" ht="15.75">
      <c r="B109" s="938" t="s">
        <v>297</v>
      </c>
      <c r="C109" s="1000"/>
      <c r="D109" s="256"/>
      <c r="E109" s="256"/>
      <c r="F109" s="256"/>
      <c r="G109" s="995"/>
      <c r="H109" s="995"/>
      <c r="I109" s="995"/>
      <c r="J109" s="995"/>
      <c r="K109" s="995"/>
      <c r="L109" s="995"/>
      <c r="M109" s="1035"/>
      <c r="N109" s="1027"/>
      <c r="O109" s="1002"/>
      <c r="P109" s="995"/>
      <c r="Q109" s="995"/>
      <c r="R109" s="1003"/>
      <c r="S109" s="1003"/>
      <c r="T109" s="23"/>
      <c r="U109" s="23"/>
      <c r="V109" s="309"/>
      <c r="W109" s="23"/>
      <c r="X109" s="23"/>
      <c r="Y109" s="23"/>
      <c r="Z109" s="23"/>
      <c r="AA109" s="2"/>
      <c r="AB109" s="1082"/>
      <c r="AC109" s="685"/>
      <c r="AD109" s="685"/>
      <c r="AE109" s="685"/>
      <c r="AF109" s="685"/>
      <c r="AG109" s="685"/>
      <c r="AH109" s="685"/>
      <c r="AI109" s="685"/>
    </row>
    <row r="110" spans="2:35" ht="17.25" customHeight="1">
      <c r="B110" s="938" t="s">
        <v>297</v>
      </c>
      <c r="C110" s="1000"/>
      <c r="D110" s="256"/>
      <c r="E110" s="256"/>
      <c r="F110" s="256"/>
      <c r="G110" s="995"/>
      <c r="H110" s="995"/>
      <c r="I110" s="995"/>
      <c r="J110" s="995"/>
      <c r="K110" s="995"/>
      <c r="L110" s="995"/>
      <c r="M110" s="1035"/>
      <c r="N110" s="1027"/>
      <c r="O110" s="1002"/>
      <c r="P110" s="995"/>
      <c r="Q110" s="995"/>
      <c r="R110" s="1003"/>
      <c r="S110" s="1003"/>
      <c r="T110" s="23"/>
      <c r="U110" s="23"/>
      <c r="V110" s="309"/>
      <c r="W110" s="23"/>
      <c r="X110" s="23"/>
      <c r="Y110" s="23"/>
      <c r="Z110" s="23"/>
      <c r="AA110" s="2"/>
      <c r="AB110" s="1082"/>
      <c r="AC110" s="685"/>
      <c r="AD110" s="685"/>
      <c r="AE110" s="685"/>
      <c r="AF110" s="685"/>
      <c r="AG110" s="685"/>
      <c r="AH110" s="685"/>
      <c r="AI110" s="685"/>
    </row>
    <row r="111" spans="2:35" ht="15.75">
      <c r="AA111" s="2"/>
      <c r="AB111" s="1082"/>
      <c r="AC111" s="685"/>
      <c r="AD111" s="685"/>
      <c r="AE111" s="685"/>
      <c r="AF111" s="685"/>
      <c r="AG111" s="685"/>
      <c r="AH111" s="685"/>
      <c r="AI111" s="685"/>
    </row>
    <row r="112" spans="2:35" ht="15.75">
      <c r="B112" s="1039"/>
      <c r="C112" s="1039"/>
      <c r="D112" s="1039"/>
      <c r="E112" s="1039"/>
      <c r="F112" s="1039"/>
      <c r="G112" s="1007"/>
      <c r="J112" s="1040"/>
      <c r="K112" s="1040"/>
      <c r="L112" s="1040"/>
      <c r="M112" s="1040"/>
      <c r="N112" s="1041"/>
      <c r="O112" s="1041"/>
      <c r="P112" s="1005"/>
      <c r="Q112" s="1005"/>
      <c r="R112" s="1005"/>
      <c r="S112" s="1005"/>
      <c r="T112" s="25"/>
      <c r="U112" s="25"/>
      <c r="V112" s="2"/>
      <c r="W112" s="2"/>
      <c r="X112" s="2"/>
      <c r="Y112" s="2"/>
      <c r="Z112" s="2"/>
      <c r="AA112" s="2"/>
      <c r="AB112" s="1082"/>
      <c r="AC112" s="685"/>
      <c r="AD112" s="685"/>
      <c r="AE112" s="685"/>
      <c r="AF112" s="685"/>
      <c r="AG112" s="685"/>
      <c r="AH112" s="685"/>
      <c r="AI112" s="685"/>
    </row>
    <row r="113" spans="2:35" ht="17.25" customHeight="1">
      <c r="M113" s="1040"/>
      <c r="N113" s="1041"/>
      <c r="O113" s="1041"/>
      <c r="P113" s="1005"/>
      <c r="Q113" s="1005"/>
      <c r="R113" s="1005"/>
      <c r="S113" s="1005"/>
      <c r="T113" s="25"/>
      <c r="U113" s="25"/>
      <c r="V113" s="2"/>
      <c r="W113" s="2"/>
      <c r="X113" s="2"/>
      <c r="Y113" s="2"/>
      <c r="Z113" s="2"/>
      <c r="AA113" s="2"/>
      <c r="AB113" s="1082"/>
      <c r="AC113" s="685"/>
      <c r="AD113" s="685"/>
      <c r="AE113" s="685"/>
      <c r="AF113" s="685"/>
      <c r="AG113" s="685"/>
      <c r="AH113" s="685"/>
      <c r="AI113" s="685"/>
    </row>
    <row r="114" spans="2:35" ht="15.75" customHeight="1">
      <c r="T114" s="25"/>
      <c r="U114" s="25"/>
      <c r="V114" s="2"/>
      <c r="W114" s="2"/>
      <c r="X114" s="2"/>
      <c r="Y114" s="2"/>
      <c r="Z114" s="2"/>
      <c r="AA114" s="2"/>
      <c r="AB114" s="1082"/>
      <c r="AC114" s="685"/>
      <c r="AD114" s="685"/>
      <c r="AE114" s="685"/>
      <c r="AF114" s="685"/>
      <c r="AG114" s="685"/>
      <c r="AH114" s="685"/>
      <c r="AI114" s="685"/>
    </row>
    <row r="115" spans="2:35" ht="15.75">
      <c r="T115" s="25"/>
      <c r="U115" s="25"/>
      <c r="V115" s="2"/>
      <c r="W115" s="2"/>
      <c r="X115" s="2"/>
      <c r="Y115" s="2"/>
      <c r="Z115" s="2"/>
      <c r="AA115" s="2"/>
      <c r="AB115" s="1082"/>
      <c r="AC115" s="685"/>
      <c r="AD115" s="685"/>
      <c r="AE115" s="685"/>
      <c r="AF115" s="685"/>
      <c r="AG115" s="685"/>
      <c r="AH115" s="685"/>
      <c r="AI115" s="685"/>
    </row>
    <row r="116" spans="2:35" ht="15.75">
      <c r="T116" s="25"/>
      <c r="U116" s="25"/>
      <c r="V116" s="2"/>
      <c r="W116" s="2"/>
      <c r="X116" s="2"/>
      <c r="Y116" s="2"/>
      <c r="Z116" s="2"/>
      <c r="AA116" s="2"/>
      <c r="AB116" s="1082"/>
      <c r="AC116" s="685"/>
      <c r="AD116" s="685"/>
      <c r="AE116" s="685"/>
      <c r="AF116" s="685"/>
      <c r="AG116" s="685"/>
      <c r="AH116" s="685"/>
      <c r="AI116" s="685"/>
    </row>
    <row r="117" spans="2:35" ht="17.25" customHeight="1">
      <c r="T117" s="25"/>
      <c r="U117" s="25"/>
      <c r="V117" s="2"/>
      <c r="W117" s="2"/>
      <c r="X117" s="2"/>
      <c r="Y117" s="2"/>
      <c r="Z117" s="2"/>
      <c r="AA117" s="2"/>
      <c r="AB117" s="1082"/>
      <c r="AC117" s="685"/>
      <c r="AD117" s="685"/>
      <c r="AE117" s="685"/>
      <c r="AF117" s="685"/>
      <c r="AG117" s="685"/>
      <c r="AH117" s="685"/>
      <c r="AI117" s="685"/>
    </row>
    <row r="118" spans="2:35" ht="18.75">
      <c r="B118" s="1042" t="s">
        <v>333</v>
      </c>
      <c r="T118" s="25"/>
      <c r="U118" s="25"/>
      <c r="V118" s="2"/>
      <c r="W118" s="2"/>
      <c r="X118" s="2"/>
      <c r="Y118" s="2"/>
      <c r="Z118" s="2"/>
      <c r="AA118" s="2"/>
      <c r="AB118" s="1082"/>
      <c r="AC118" s="685"/>
      <c r="AD118" s="685"/>
      <c r="AE118" s="685"/>
      <c r="AF118" s="685"/>
      <c r="AG118" s="685"/>
      <c r="AH118" s="685"/>
      <c r="AI118" s="685"/>
    </row>
    <row r="119" spans="2:35" ht="15.75">
      <c r="B119" s="1043" t="s">
        <v>334</v>
      </c>
      <c r="C119" s="867" t="s">
        <v>335</v>
      </c>
      <c r="T119" s="25"/>
      <c r="U119" s="25"/>
      <c r="V119" s="2"/>
      <c r="W119" s="2"/>
      <c r="X119" s="2"/>
      <c r="Y119" s="2"/>
      <c r="Z119" s="2"/>
      <c r="AA119" s="2"/>
      <c r="AB119" s="1082"/>
      <c r="AC119" s="685"/>
      <c r="AD119" s="685"/>
      <c r="AE119" s="685"/>
      <c r="AF119" s="685"/>
      <c r="AG119" s="685"/>
      <c r="AH119" s="685"/>
      <c r="AI119" s="685"/>
    </row>
    <row r="120" spans="2:35" ht="15.75">
      <c r="B120" s="1044" t="s">
        <v>163</v>
      </c>
      <c r="C120" s="995">
        <v>0</v>
      </c>
      <c r="T120" s="25"/>
      <c r="U120" s="25"/>
      <c r="V120" s="2"/>
      <c r="W120" s="2"/>
      <c r="X120" s="2"/>
      <c r="Y120" s="2"/>
      <c r="Z120" s="2"/>
      <c r="AA120" s="2"/>
      <c r="AB120" s="1082"/>
      <c r="AC120" s="685"/>
      <c r="AD120" s="685"/>
      <c r="AE120" s="685"/>
      <c r="AF120" s="685"/>
      <c r="AG120" s="685"/>
      <c r="AH120" s="685"/>
      <c r="AI120" s="685"/>
    </row>
    <row r="121" spans="2:35" ht="15.75">
      <c r="B121" s="1044" t="s">
        <v>336</v>
      </c>
      <c r="C121" s="995">
        <v>0.7</v>
      </c>
      <c r="T121" s="25"/>
      <c r="U121" s="25"/>
      <c r="V121" s="2"/>
      <c r="W121" s="2"/>
      <c r="X121" s="2"/>
      <c r="Y121" s="2"/>
      <c r="Z121" s="2"/>
      <c r="AA121" s="2"/>
      <c r="AB121" s="1082"/>
      <c r="AC121" s="685"/>
      <c r="AD121" s="685"/>
      <c r="AE121" s="685"/>
      <c r="AF121" s="685"/>
      <c r="AG121" s="685"/>
      <c r="AH121" s="685"/>
      <c r="AI121" s="685"/>
    </row>
    <row r="122" spans="2:35" ht="15.75">
      <c r="B122" s="1044" t="s">
        <v>337</v>
      </c>
      <c r="C122" s="995">
        <v>0.7</v>
      </c>
      <c r="T122" s="25"/>
      <c r="U122" s="25"/>
      <c r="V122" s="2"/>
      <c r="W122" s="2"/>
      <c r="X122" s="2"/>
      <c r="Y122" s="2"/>
      <c r="Z122" s="2"/>
      <c r="AA122" s="2"/>
      <c r="AB122" s="1082"/>
      <c r="AC122" s="685"/>
      <c r="AD122" s="685"/>
      <c r="AE122" s="685"/>
      <c r="AF122" s="685"/>
      <c r="AG122" s="685"/>
      <c r="AH122" s="685"/>
      <c r="AI122" s="685"/>
    </row>
    <row r="123" spans="2:35" ht="15.75">
      <c r="B123" s="1044" t="s">
        <v>338</v>
      </c>
      <c r="C123" s="995">
        <v>1.1000000000000001</v>
      </c>
      <c r="T123" s="25"/>
      <c r="U123" s="25"/>
      <c r="V123" s="2"/>
      <c r="W123" s="2"/>
      <c r="X123" s="2"/>
      <c r="Y123" s="2"/>
      <c r="Z123" s="2"/>
      <c r="AA123" s="2"/>
      <c r="AB123" s="1082"/>
      <c r="AC123" s="685"/>
      <c r="AD123" s="685"/>
      <c r="AE123" s="685"/>
      <c r="AF123" s="685"/>
      <c r="AG123" s="685"/>
      <c r="AH123" s="685"/>
      <c r="AI123" s="685"/>
    </row>
    <row r="124" spans="2:35" ht="15.75">
      <c r="B124" s="1044" t="s">
        <v>339</v>
      </c>
      <c r="C124" s="995">
        <v>0.3</v>
      </c>
      <c r="T124" s="25"/>
      <c r="U124" s="25"/>
      <c r="V124" s="2"/>
      <c r="W124" s="2"/>
      <c r="X124" s="2"/>
      <c r="Y124" s="2"/>
      <c r="Z124" s="2"/>
      <c r="AA124" s="2"/>
      <c r="AB124" s="1082"/>
      <c r="AC124" s="685"/>
      <c r="AD124" s="685"/>
      <c r="AE124" s="685"/>
      <c r="AF124" s="685"/>
      <c r="AG124" s="685"/>
      <c r="AH124" s="685"/>
      <c r="AI124" s="685"/>
    </row>
    <row r="125" spans="2:35" ht="15.75">
      <c r="B125" s="1044" t="s">
        <v>340</v>
      </c>
      <c r="C125" s="995">
        <v>0.7</v>
      </c>
      <c r="T125" s="2"/>
      <c r="U125" s="2"/>
      <c r="V125" s="2"/>
      <c r="W125" s="2"/>
      <c r="X125" s="2"/>
      <c r="Y125" s="2"/>
      <c r="Z125" s="2"/>
      <c r="AA125" s="2"/>
      <c r="AB125" s="1082"/>
      <c r="AC125" s="685"/>
      <c r="AD125" s="685"/>
      <c r="AE125" s="685"/>
      <c r="AF125" s="685"/>
      <c r="AG125" s="685"/>
      <c r="AH125" s="685"/>
      <c r="AI125" s="685"/>
    </row>
    <row r="126" spans="2:35" ht="15.75">
      <c r="B126" s="1044" t="s">
        <v>341</v>
      </c>
      <c r="C126" s="995">
        <v>1</v>
      </c>
      <c r="T126" s="2"/>
      <c r="U126" s="2"/>
      <c r="V126" s="2"/>
      <c r="W126" s="2"/>
      <c r="X126" s="2"/>
      <c r="Y126" s="2"/>
      <c r="Z126" s="2"/>
      <c r="AA126" s="2"/>
      <c r="AB126" s="1082"/>
      <c r="AC126" s="685"/>
      <c r="AD126" s="685"/>
      <c r="AE126" s="685"/>
      <c r="AF126" s="685"/>
      <c r="AG126" s="685"/>
      <c r="AH126" s="685"/>
      <c r="AI126" s="685"/>
    </row>
    <row r="127" spans="2:35" ht="15.75">
      <c r="B127" s="1044" t="s">
        <v>342</v>
      </c>
      <c r="C127" s="995">
        <v>0.05</v>
      </c>
      <c r="V127" s="2"/>
      <c r="W127" s="2"/>
      <c r="X127" s="2"/>
      <c r="Y127" s="2"/>
      <c r="Z127" s="2"/>
      <c r="AA127" s="2"/>
      <c r="AB127" s="1082"/>
      <c r="AC127" s="685"/>
      <c r="AD127" s="685"/>
      <c r="AE127" s="685"/>
      <c r="AF127" s="685"/>
      <c r="AG127" s="685"/>
      <c r="AH127" s="685"/>
      <c r="AI127" s="685"/>
    </row>
    <row r="128" spans="2:35" ht="15.75">
      <c r="B128" s="1044" t="s">
        <v>343</v>
      </c>
      <c r="C128" s="995">
        <v>0.1</v>
      </c>
      <c r="V128" s="2"/>
      <c r="W128" s="2"/>
      <c r="X128" s="2"/>
      <c r="Y128" s="2"/>
      <c r="Z128" s="2"/>
      <c r="AA128" s="2"/>
      <c r="AB128" s="1082"/>
      <c r="AC128" s="685"/>
      <c r="AD128" s="685"/>
      <c r="AE128" s="685"/>
      <c r="AF128" s="685"/>
      <c r="AG128" s="685"/>
      <c r="AH128" s="685"/>
      <c r="AI128" s="685"/>
    </row>
    <row r="129" spans="2:35" ht="15.75">
      <c r="B129" s="1044" t="s">
        <v>344</v>
      </c>
      <c r="C129" s="995">
        <v>0.02</v>
      </c>
      <c r="V129" s="2"/>
      <c r="W129" s="2"/>
      <c r="X129" s="2"/>
      <c r="Y129" s="2"/>
      <c r="Z129" s="2"/>
      <c r="AA129" s="2"/>
      <c r="AB129" s="1082"/>
      <c r="AC129" s="685"/>
      <c r="AD129" s="685"/>
      <c r="AE129" s="685"/>
      <c r="AF129" s="685"/>
      <c r="AG129" s="685"/>
      <c r="AH129" s="685"/>
      <c r="AI129" s="685"/>
    </row>
    <row r="130" spans="2:35" ht="15.75">
      <c r="B130" s="1044" t="s">
        <v>428</v>
      </c>
      <c r="C130" s="995">
        <v>0.06</v>
      </c>
      <c r="V130" s="2"/>
      <c r="W130" s="2"/>
      <c r="X130" s="2"/>
      <c r="Y130" s="2"/>
      <c r="Z130" s="2"/>
      <c r="AA130" s="2"/>
      <c r="AB130" s="1082"/>
      <c r="AC130" s="685"/>
      <c r="AD130" s="685"/>
      <c r="AE130" s="685"/>
      <c r="AF130" s="685"/>
      <c r="AG130" s="685"/>
      <c r="AH130" s="685"/>
      <c r="AI130" s="685"/>
    </row>
    <row r="131" spans="2:35" ht="15.75">
      <c r="B131" s="1044" t="s">
        <v>427</v>
      </c>
      <c r="C131" s="995">
        <v>0.16</v>
      </c>
      <c r="V131" s="2"/>
      <c r="W131" s="2"/>
      <c r="X131" s="2"/>
      <c r="Y131" s="2"/>
      <c r="Z131" s="2"/>
      <c r="AA131" s="2"/>
      <c r="AB131" s="1082"/>
      <c r="AC131" s="685"/>
      <c r="AD131" s="685"/>
      <c r="AE131" s="685"/>
      <c r="AF131" s="685"/>
      <c r="AG131" s="685"/>
      <c r="AH131" s="685"/>
      <c r="AI131" s="685"/>
    </row>
    <row r="132" spans="2:35" ht="15.75">
      <c r="B132" s="1044" t="s">
        <v>426</v>
      </c>
      <c r="C132" s="995">
        <v>0.3</v>
      </c>
      <c r="V132" s="2"/>
      <c r="W132" s="2"/>
      <c r="X132" s="2"/>
      <c r="Y132" s="2"/>
      <c r="Z132" s="2"/>
      <c r="AA132" s="2"/>
      <c r="AB132" s="1082"/>
      <c r="AC132" s="685"/>
      <c r="AD132" s="685"/>
      <c r="AE132" s="685"/>
      <c r="AF132" s="685"/>
      <c r="AG132" s="685"/>
      <c r="AH132" s="685"/>
      <c r="AI132" s="685"/>
    </row>
    <row r="133" spans="2:35" ht="15.75">
      <c r="B133" s="1044" t="s">
        <v>345</v>
      </c>
      <c r="C133" s="995">
        <v>4.0000000000000001E-3</v>
      </c>
      <c r="V133" s="2"/>
      <c r="W133" s="2"/>
      <c r="X133" s="2"/>
      <c r="Y133" s="2"/>
      <c r="Z133" s="2"/>
      <c r="AA133" s="2"/>
      <c r="AB133" s="1082"/>
      <c r="AC133" s="685"/>
      <c r="AD133" s="685"/>
      <c r="AE133" s="685"/>
      <c r="AF133" s="685"/>
      <c r="AG133" s="685"/>
      <c r="AH133" s="685"/>
      <c r="AI133" s="685"/>
    </row>
    <row r="134" spans="2:35" ht="15.75">
      <c r="B134" s="1044" t="s">
        <v>425</v>
      </c>
      <c r="C134" s="995">
        <v>4.0000000000000001E-3</v>
      </c>
      <c r="V134" s="2"/>
      <c r="W134" s="2"/>
      <c r="X134" s="2"/>
      <c r="Y134" s="2"/>
      <c r="Z134" s="2"/>
      <c r="AA134" s="2"/>
      <c r="AB134" s="1082"/>
      <c r="AC134" s="685"/>
      <c r="AD134" s="685"/>
      <c r="AE134" s="685"/>
      <c r="AF134" s="685"/>
      <c r="AG134" s="685"/>
      <c r="AH134" s="685"/>
      <c r="AI134" s="685"/>
    </row>
    <row r="135" spans="2:35" ht="15.75">
      <c r="B135" s="1044" t="s">
        <v>346</v>
      </c>
      <c r="C135" s="995">
        <v>4.0000000000000001E-3</v>
      </c>
      <c r="V135" s="2"/>
      <c r="W135" s="2"/>
      <c r="X135" s="2"/>
      <c r="Y135" s="2"/>
      <c r="Z135" s="2"/>
      <c r="AA135" s="2"/>
      <c r="AB135" s="1082"/>
      <c r="AC135" s="685"/>
      <c r="AD135" s="685"/>
      <c r="AE135" s="685"/>
      <c r="AF135" s="685"/>
      <c r="AG135" s="685"/>
      <c r="AH135" s="685"/>
      <c r="AI135" s="685"/>
    </row>
    <row r="136" spans="2:35" ht="16.5" customHeight="1">
      <c r="B136" s="1044" t="s">
        <v>120</v>
      </c>
      <c r="C136" s="995">
        <v>4.0000000000000001E-3</v>
      </c>
      <c r="V136" s="2"/>
      <c r="W136" s="2"/>
      <c r="X136" s="2"/>
      <c r="Y136" s="2"/>
      <c r="Z136" s="2"/>
      <c r="AA136" s="2"/>
      <c r="AB136" s="1082"/>
      <c r="AC136" s="685"/>
      <c r="AD136" s="685"/>
      <c r="AE136" s="685"/>
      <c r="AF136" s="685"/>
      <c r="AG136" s="685"/>
      <c r="AH136" s="685"/>
      <c r="AI136" s="685"/>
    </row>
    <row r="137" spans="2:35" ht="16.5" customHeight="1">
      <c r="B137" s="1044" t="s">
        <v>119</v>
      </c>
      <c r="C137" s="995">
        <v>4.0000000000000001E-3</v>
      </c>
      <c r="V137" s="2"/>
      <c r="W137" s="2"/>
      <c r="X137" s="2"/>
      <c r="Y137" s="2"/>
      <c r="Z137" s="2"/>
      <c r="AA137" s="2"/>
      <c r="AB137" s="1082"/>
      <c r="AC137" s="685"/>
      <c r="AD137" s="685"/>
      <c r="AE137" s="685"/>
      <c r="AF137" s="685"/>
      <c r="AG137" s="685"/>
      <c r="AH137" s="685"/>
      <c r="AI137" s="685"/>
    </row>
    <row r="138" spans="2:35" ht="15.75">
      <c r="B138" s="1044" t="s">
        <v>347</v>
      </c>
      <c r="C138" s="995">
        <v>4.0000000000000001E-3</v>
      </c>
      <c r="V138" s="2"/>
      <c r="W138" s="2"/>
      <c r="X138" s="2"/>
      <c r="Y138" s="2"/>
      <c r="Z138" s="2"/>
      <c r="AA138" s="2"/>
      <c r="AB138" s="1082"/>
      <c r="AC138" s="685"/>
      <c r="AD138" s="685"/>
      <c r="AE138" s="685"/>
      <c r="AF138" s="685"/>
      <c r="AG138" s="685"/>
      <c r="AH138" s="685"/>
      <c r="AI138" s="685"/>
    </row>
    <row r="139" spans="2:35" ht="15.75">
      <c r="B139" s="992"/>
      <c r="V139" s="2"/>
      <c r="W139" s="2"/>
      <c r="X139" s="2"/>
      <c r="Y139" s="2"/>
      <c r="Z139" s="2"/>
      <c r="AA139" s="2"/>
      <c r="AB139" s="1082"/>
      <c r="AC139" s="685"/>
      <c r="AD139" s="685"/>
      <c r="AE139" s="685"/>
      <c r="AF139" s="685"/>
      <c r="AG139" s="685"/>
      <c r="AH139" s="685"/>
      <c r="AI139" s="685"/>
    </row>
    <row r="140" spans="2:35" ht="15.75">
      <c r="B140" s="992"/>
      <c r="AA140" s="2"/>
      <c r="AB140" s="1082"/>
      <c r="AC140" s="685"/>
      <c r="AD140" s="685"/>
      <c r="AE140" s="685"/>
      <c r="AF140" s="685"/>
      <c r="AG140" s="685"/>
      <c r="AH140" s="685"/>
      <c r="AI140" s="685"/>
    </row>
    <row r="141" spans="2:35" ht="15.75">
      <c r="AA141" s="2"/>
      <c r="AB141" s="1082"/>
      <c r="AC141" s="685"/>
      <c r="AD141" s="685"/>
      <c r="AE141" s="685"/>
      <c r="AF141" s="685"/>
      <c r="AG141" s="685"/>
      <c r="AH141" s="685"/>
      <c r="AI141" s="685"/>
    </row>
    <row r="142" spans="2:35" ht="15.75" customHeight="1">
      <c r="AA142" s="2"/>
      <c r="AB142" s="1082"/>
      <c r="AC142" s="685"/>
      <c r="AD142" s="685"/>
      <c r="AE142" s="685"/>
      <c r="AF142" s="685"/>
      <c r="AG142" s="685"/>
      <c r="AH142" s="685"/>
      <c r="AI142" s="685"/>
    </row>
    <row r="143" spans="2:35" ht="15.75">
      <c r="AA143" s="2"/>
      <c r="AB143" s="1082"/>
      <c r="AC143" s="685"/>
      <c r="AD143" s="685"/>
      <c r="AE143" s="685"/>
      <c r="AF143" s="685"/>
      <c r="AG143" s="685"/>
      <c r="AH143" s="685"/>
      <c r="AI143" s="685"/>
    </row>
    <row r="144" spans="2:35" ht="16.5" customHeight="1">
      <c r="AA144" s="2"/>
      <c r="AB144" s="1082"/>
      <c r="AC144" s="685"/>
      <c r="AD144" s="685"/>
      <c r="AE144" s="685"/>
      <c r="AF144" s="685"/>
      <c r="AG144" s="685"/>
      <c r="AH144" s="685"/>
      <c r="AI144" s="685"/>
    </row>
    <row r="145" spans="27:35" ht="15.75">
      <c r="AA145" s="2"/>
      <c r="AB145" s="1082"/>
      <c r="AC145" s="685"/>
      <c r="AD145" s="685"/>
      <c r="AE145" s="685"/>
      <c r="AF145" s="685"/>
      <c r="AG145" s="685"/>
      <c r="AH145" s="685"/>
      <c r="AI145" s="685"/>
    </row>
    <row r="146" spans="27:35" ht="15.75">
      <c r="AA146" s="2"/>
      <c r="AB146" s="1082"/>
      <c r="AC146" s="685"/>
      <c r="AD146" s="685"/>
      <c r="AE146" s="685"/>
      <c r="AF146" s="685"/>
      <c r="AG146" s="685"/>
      <c r="AH146" s="685"/>
      <c r="AI146" s="685"/>
    </row>
    <row r="147" spans="27:35" ht="15.75">
      <c r="AA147" s="2"/>
      <c r="AB147" s="1082"/>
      <c r="AC147" s="685"/>
      <c r="AD147" s="685"/>
      <c r="AE147" s="685"/>
      <c r="AF147" s="685"/>
      <c r="AG147" s="685"/>
      <c r="AH147" s="685"/>
      <c r="AI147" s="685"/>
    </row>
  </sheetData>
  <mergeCells count="26">
    <mergeCell ref="R4:V4"/>
    <mergeCell ref="R5:S5"/>
    <mergeCell ref="AI12:AJ12"/>
    <mergeCell ref="AI13:AJ13"/>
    <mergeCell ref="AC6:AD8"/>
    <mergeCell ref="AE6:AG8"/>
    <mergeCell ref="AH6:AJ8"/>
    <mergeCell ref="T5:V5"/>
    <mergeCell ref="AI11:AJ11"/>
    <mergeCell ref="AD60:AI60"/>
    <mergeCell ref="AD57:AI57"/>
    <mergeCell ref="W4:Z4"/>
    <mergeCell ref="W5:X5"/>
    <mergeCell ref="Y5:Z5"/>
    <mergeCell ref="AC30:AE30"/>
    <mergeCell ref="AB20:AL20"/>
    <mergeCell ref="AI21:AN21"/>
    <mergeCell ref="AO21:AR21"/>
    <mergeCell ref="AC21:AH21"/>
    <mergeCell ref="B5:B6"/>
    <mergeCell ref="K5:Q5"/>
    <mergeCell ref="AI9:AJ9"/>
    <mergeCell ref="AI10:AJ10"/>
    <mergeCell ref="E5:G5"/>
    <mergeCell ref="H5:J5"/>
    <mergeCell ref="D5:D6"/>
  </mergeCell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tabColor theme="0"/>
  </sheetPr>
  <dimension ref="B1:V26"/>
  <sheetViews>
    <sheetView zoomScale="90" zoomScaleNormal="90" workbookViewId="0">
      <selection activeCell="B1" sqref="B1"/>
    </sheetView>
  </sheetViews>
  <sheetFormatPr baseColWidth="10" defaultRowHeight="15.75"/>
  <cols>
    <col min="1" max="1" width="11.42578125" style="66"/>
    <col min="2" max="2" width="24.85546875" style="66" customWidth="1"/>
    <col min="3" max="5" width="11.42578125" style="66"/>
    <col min="6" max="6" width="11.42578125" style="392"/>
    <col min="7" max="7" width="30.28515625" style="392" customWidth="1"/>
    <col min="8" max="10" width="11.42578125" style="392"/>
    <col min="11" max="11" width="11.42578125" style="66"/>
    <col min="12" max="12" width="11.42578125" style="392"/>
    <col min="13" max="13" width="28.7109375" style="66" customWidth="1"/>
    <col min="14" max="16" width="11.42578125" style="66"/>
    <col min="17" max="17" width="20.140625" style="66" bestFit="1" customWidth="1"/>
    <col min="18" max="18" width="21.7109375" style="66" bestFit="1" customWidth="1"/>
    <col min="19" max="21" width="11.42578125" style="66"/>
    <col min="22" max="22" width="15.5703125" style="66" bestFit="1" customWidth="1"/>
    <col min="23" max="23" width="11.42578125" style="66"/>
    <col min="24" max="24" width="21.7109375" style="66" bestFit="1" customWidth="1"/>
    <col min="25" max="27" width="11.42578125" style="66"/>
    <col min="28" max="28" width="15.5703125" style="66" bestFit="1" customWidth="1"/>
    <col min="29" max="16384" width="11.42578125" style="66"/>
  </cols>
  <sheetData>
    <row r="1" spans="2:22">
      <c r="K1" s="392"/>
    </row>
    <row r="2" spans="2:22">
      <c r="B2" s="89" t="s">
        <v>93</v>
      </c>
      <c r="G2" s="89" t="s">
        <v>93</v>
      </c>
      <c r="K2" s="392"/>
      <c r="M2" s="89" t="s">
        <v>92</v>
      </c>
      <c r="R2" s="89" t="s">
        <v>92</v>
      </c>
    </row>
    <row r="3" spans="2:22">
      <c r="B3" s="70"/>
      <c r="C3" s="1608" t="s">
        <v>193</v>
      </c>
      <c r="D3" s="1608"/>
      <c r="E3" s="1608"/>
      <c r="F3" s="517"/>
      <c r="H3" s="1608" t="s">
        <v>17</v>
      </c>
      <c r="I3" s="1608"/>
      <c r="J3" s="1608"/>
      <c r="K3" s="1310" t="s">
        <v>148</v>
      </c>
      <c r="M3" s="79"/>
      <c r="N3" s="1608" t="s">
        <v>193</v>
      </c>
      <c r="O3" s="1608"/>
      <c r="P3" s="1608"/>
      <c r="S3" s="1608" t="s">
        <v>17</v>
      </c>
      <c r="T3" s="1608"/>
      <c r="U3" s="1608"/>
    </row>
    <row r="4" spans="2:22" ht="18.75">
      <c r="B4" s="81" t="s">
        <v>199</v>
      </c>
      <c r="C4" s="72" t="s">
        <v>16</v>
      </c>
      <c r="D4" s="72" t="s">
        <v>36</v>
      </c>
      <c r="E4" s="72" t="s">
        <v>37</v>
      </c>
      <c r="F4" s="510"/>
      <c r="G4" s="511" t="s">
        <v>247</v>
      </c>
      <c r="H4" s="511" t="s">
        <v>16</v>
      </c>
      <c r="I4" s="511" t="s">
        <v>36</v>
      </c>
      <c r="J4" s="511" t="s">
        <v>37</v>
      </c>
      <c r="K4" s="1310"/>
      <c r="L4" s="517"/>
      <c r="M4" s="126" t="s">
        <v>199</v>
      </c>
      <c r="N4" s="81" t="s">
        <v>16</v>
      </c>
      <c r="O4" s="81" t="s">
        <v>36</v>
      </c>
      <c r="P4" s="81" t="s">
        <v>37</v>
      </c>
      <c r="R4" s="81" t="s">
        <v>247</v>
      </c>
      <c r="S4" s="67" t="s">
        <v>16</v>
      </c>
      <c r="T4" s="67" t="s">
        <v>36</v>
      </c>
      <c r="U4" s="67" t="s">
        <v>37</v>
      </c>
      <c r="V4" s="71" t="s">
        <v>148</v>
      </c>
    </row>
    <row r="5" spans="2:22">
      <c r="B5" s="47" t="s">
        <v>163</v>
      </c>
      <c r="C5" s="23">
        <v>0</v>
      </c>
      <c r="D5" s="23">
        <v>0</v>
      </c>
      <c r="E5" s="23">
        <v>0</v>
      </c>
      <c r="F5" s="264"/>
      <c r="G5" s="515" t="s">
        <v>163</v>
      </c>
      <c r="H5" s="519">
        <v>0</v>
      </c>
      <c r="I5" s="519">
        <v>0</v>
      </c>
      <c r="J5" s="519">
        <v>0</v>
      </c>
      <c r="K5" s="519">
        <v>0</v>
      </c>
      <c r="L5" s="70"/>
      <c r="M5" s="47" t="s">
        <v>163</v>
      </c>
      <c r="N5" s="23">
        <v>0</v>
      </c>
      <c r="O5" s="23">
        <v>0</v>
      </c>
      <c r="P5" s="23">
        <v>0</v>
      </c>
      <c r="R5" s="47" t="s">
        <v>163</v>
      </c>
      <c r="S5" s="83">
        <v>0</v>
      </c>
      <c r="T5" s="83">
        <v>0</v>
      </c>
      <c r="U5" s="83">
        <v>0</v>
      </c>
      <c r="V5" s="83">
        <v>0</v>
      </c>
    </row>
    <row r="6" spans="2:22">
      <c r="B6" s="47" t="s">
        <v>328</v>
      </c>
      <c r="C6" s="23">
        <v>5</v>
      </c>
      <c r="D6" s="23">
        <v>2.2999999999999998</v>
      </c>
      <c r="E6" s="23">
        <v>1.81</v>
      </c>
      <c r="F6" s="264"/>
      <c r="G6" s="515" t="s">
        <v>137</v>
      </c>
      <c r="H6" s="23">
        <v>25</v>
      </c>
      <c r="I6" s="23">
        <v>13.7</v>
      </c>
      <c r="J6" s="23">
        <v>2.29</v>
      </c>
      <c r="K6" s="74">
        <v>0.55000000000000004</v>
      </c>
      <c r="L6" s="66"/>
      <c r="M6" s="47" t="s">
        <v>328</v>
      </c>
      <c r="N6" s="23">
        <v>5</v>
      </c>
      <c r="O6" s="23">
        <v>2.2999999999999998</v>
      </c>
      <c r="P6" s="23">
        <v>1.81</v>
      </c>
      <c r="R6" s="47" t="s">
        <v>137</v>
      </c>
      <c r="S6" s="23">
        <v>25</v>
      </c>
      <c r="T6" s="23">
        <v>13.7</v>
      </c>
      <c r="U6" s="23">
        <v>2.29</v>
      </c>
      <c r="V6" s="74">
        <v>0.55000000000000004</v>
      </c>
    </row>
    <row r="7" spans="2:22">
      <c r="B7" s="701" t="s">
        <v>1090</v>
      </c>
      <c r="C7" s="23">
        <v>5</v>
      </c>
      <c r="D7" s="23">
        <v>2.7</v>
      </c>
      <c r="E7" s="23">
        <v>2.46</v>
      </c>
      <c r="F7" s="264"/>
      <c r="G7" s="515" t="s">
        <v>139</v>
      </c>
      <c r="H7" s="23">
        <v>27</v>
      </c>
      <c r="I7" s="23">
        <v>14.9</v>
      </c>
      <c r="J7" s="23">
        <v>2.29</v>
      </c>
      <c r="K7" s="74">
        <v>0.56999999999999995</v>
      </c>
      <c r="L7" s="70"/>
      <c r="M7" s="701" t="s">
        <v>1090</v>
      </c>
      <c r="N7" s="23">
        <v>5</v>
      </c>
      <c r="O7" s="23">
        <v>2.7</v>
      </c>
      <c r="P7" s="23">
        <v>2.46</v>
      </c>
      <c r="R7" s="47" t="s">
        <v>139</v>
      </c>
      <c r="S7" s="23">
        <v>27</v>
      </c>
      <c r="T7" s="23">
        <v>14.9</v>
      </c>
      <c r="U7" s="23">
        <v>2.29</v>
      </c>
      <c r="V7" s="74">
        <v>0.56999999999999995</v>
      </c>
    </row>
    <row r="8" spans="2:22">
      <c r="B8" s="47" t="s">
        <v>147</v>
      </c>
      <c r="C8" s="23">
        <v>19</v>
      </c>
      <c r="D8" s="23">
        <v>4.12</v>
      </c>
      <c r="E8" s="23">
        <v>1.45</v>
      </c>
      <c r="F8" s="264"/>
      <c r="G8" s="515" t="s">
        <v>141</v>
      </c>
      <c r="H8" s="23">
        <v>25.6</v>
      </c>
      <c r="I8" s="23">
        <v>11.7</v>
      </c>
      <c r="J8" s="23">
        <v>2.41</v>
      </c>
      <c r="K8" s="74">
        <v>0.79</v>
      </c>
      <c r="L8" s="66"/>
      <c r="M8" s="47" t="s">
        <v>147</v>
      </c>
      <c r="N8" s="23">
        <v>19</v>
      </c>
      <c r="O8" s="23">
        <v>4.12</v>
      </c>
      <c r="P8" s="23">
        <v>1.45</v>
      </c>
      <c r="R8" s="47" t="s">
        <v>141</v>
      </c>
      <c r="S8" s="23">
        <v>25.6</v>
      </c>
      <c r="T8" s="23">
        <v>11.7</v>
      </c>
      <c r="U8" s="23">
        <v>2.41</v>
      </c>
      <c r="V8" s="74">
        <v>0.79</v>
      </c>
    </row>
    <row r="9" spans="2:22">
      <c r="B9" s="47" t="s">
        <v>115</v>
      </c>
      <c r="C9" s="23">
        <v>3.5</v>
      </c>
      <c r="D9" s="23">
        <v>1.4</v>
      </c>
      <c r="E9" s="23">
        <v>0.06</v>
      </c>
      <c r="F9" s="264"/>
      <c r="G9" s="515" t="s">
        <v>143</v>
      </c>
      <c r="H9" s="23">
        <v>26</v>
      </c>
      <c r="I9" s="23">
        <v>13.7</v>
      </c>
      <c r="J9" s="23">
        <v>2.41</v>
      </c>
      <c r="K9" s="74">
        <v>0.48</v>
      </c>
      <c r="L9" s="70"/>
      <c r="M9" s="47" t="s">
        <v>115</v>
      </c>
      <c r="N9" s="23">
        <v>3.5</v>
      </c>
      <c r="O9" s="23">
        <v>1.4</v>
      </c>
      <c r="P9" s="23">
        <v>0.06</v>
      </c>
      <c r="R9" s="47" t="s">
        <v>143</v>
      </c>
      <c r="S9" s="23">
        <v>26</v>
      </c>
      <c r="T9" s="23">
        <v>13.7</v>
      </c>
      <c r="U9" s="23">
        <v>2.41</v>
      </c>
      <c r="V9" s="74">
        <v>0.48</v>
      </c>
    </row>
    <row r="10" spans="2:22">
      <c r="B10" s="47" t="s">
        <v>123</v>
      </c>
      <c r="C10" s="23">
        <v>128</v>
      </c>
      <c r="D10" s="23">
        <v>0.9</v>
      </c>
      <c r="E10" s="23">
        <v>6.0250000000000004</v>
      </c>
      <c r="F10" s="264"/>
      <c r="G10" s="515" t="s">
        <v>145</v>
      </c>
      <c r="H10" s="23">
        <v>26</v>
      </c>
      <c r="I10" s="23">
        <v>13.7</v>
      </c>
      <c r="J10" s="23">
        <v>2.89</v>
      </c>
      <c r="K10" s="74">
        <v>0.48</v>
      </c>
      <c r="L10" s="66"/>
      <c r="M10" s="47" t="s">
        <v>123</v>
      </c>
      <c r="N10" s="23">
        <v>128</v>
      </c>
      <c r="O10" s="23">
        <v>0.9</v>
      </c>
      <c r="P10" s="23">
        <v>6.0250000000000004</v>
      </c>
      <c r="R10" s="47" t="s">
        <v>145</v>
      </c>
      <c r="S10" s="23">
        <v>26</v>
      </c>
      <c r="T10" s="23">
        <v>13.7</v>
      </c>
      <c r="U10" s="23">
        <v>2.89</v>
      </c>
      <c r="V10" s="74">
        <v>0.48</v>
      </c>
    </row>
    <row r="11" spans="2:22" s="70" customFormat="1">
      <c r="B11" s="47" t="s">
        <v>163</v>
      </c>
      <c r="C11" s="83">
        <v>0</v>
      </c>
      <c r="D11" s="83">
        <v>0</v>
      </c>
      <c r="E11" s="23">
        <v>0</v>
      </c>
      <c r="F11" s="264"/>
      <c r="G11" s="264"/>
      <c r="H11" s="264"/>
      <c r="I11" s="264"/>
      <c r="J11" s="264"/>
      <c r="K11" s="66"/>
      <c r="L11" s="392"/>
      <c r="M11" s="47" t="s">
        <v>163</v>
      </c>
      <c r="N11" s="110">
        <v>0</v>
      </c>
      <c r="O11" s="110">
        <v>0</v>
      </c>
      <c r="P11" s="524">
        <v>0</v>
      </c>
      <c r="R11" s="66"/>
      <c r="S11" s="66"/>
      <c r="T11" s="66"/>
      <c r="U11" s="66"/>
      <c r="V11" s="66"/>
    </row>
    <row r="12" spans="2:22" s="70" customFormat="1">
      <c r="B12" s="47" t="s">
        <v>136</v>
      </c>
      <c r="C12" s="23">
        <v>25</v>
      </c>
      <c r="D12" s="23">
        <v>13.7</v>
      </c>
      <c r="E12" s="23">
        <v>2.29</v>
      </c>
      <c r="F12" s="264"/>
      <c r="G12" s="264"/>
      <c r="H12" s="264"/>
      <c r="I12" s="264"/>
      <c r="J12" s="264"/>
      <c r="L12" s="392"/>
      <c r="M12" s="47" t="s">
        <v>136</v>
      </c>
      <c r="N12" s="23">
        <v>25</v>
      </c>
      <c r="O12" s="23">
        <v>13.7</v>
      </c>
      <c r="P12" s="23">
        <v>2.29</v>
      </c>
      <c r="V12" s="66"/>
    </row>
    <row r="13" spans="2:22">
      <c r="B13" s="47" t="s">
        <v>138</v>
      </c>
      <c r="C13" s="23">
        <v>27</v>
      </c>
      <c r="D13" s="23">
        <v>14.9</v>
      </c>
      <c r="E13" s="23">
        <v>2.29</v>
      </c>
      <c r="F13" s="264"/>
      <c r="G13" s="264"/>
      <c r="H13" s="264"/>
      <c r="I13" s="264"/>
      <c r="J13" s="264"/>
      <c r="K13" s="70"/>
      <c r="M13" s="47" t="s">
        <v>138</v>
      </c>
      <c r="N13" s="23">
        <v>27</v>
      </c>
      <c r="O13" s="23">
        <v>14.9</v>
      </c>
      <c r="P13" s="23">
        <v>2.29</v>
      </c>
      <c r="R13" s="70"/>
      <c r="S13" s="70"/>
      <c r="T13" s="70"/>
      <c r="U13" s="70"/>
      <c r="V13" s="70"/>
    </row>
    <row r="14" spans="2:22" s="70" customFormat="1">
      <c r="B14" s="47" t="s">
        <v>140</v>
      </c>
      <c r="C14" s="23">
        <v>25.6</v>
      </c>
      <c r="D14" s="23">
        <v>11.7</v>
      </c>
      <c r="E14" s="23">
        <v>2.41</v>
      </c>
      <c r="F14" s="264"/>
      <c r="G14" s="264"/>
      <c r="H14" s="264"/>
      <c r="I14" s="264"/>
      <c r="J14" s="264"/>
      <c r="K14" s="66"/>
      <c r="L14" s="392"/>
      <c r="M14" s="47" t="s">
        <v>140</v>
      </c>
      <c r="N14" s="23">
        <v>25.6</v>
      </c>
      <c r="O14" s="23">
        <v>11.7</v>
      </c>
      <c r="P14" s="23">
        <v>2.41</v>
      </c>
      <c r="R14" s="66"/>
      <c r="S14" s="66"/>
      <c r="T14" s="66"/>
      <c r="U14" s="66"/>
      <c r="V14" s="66"/>
    </row>
    <row r="15" spans="2:22">
      <c r="B15" s="47" t="s">
        <v>142</v>
      </c>
      <c r="C15" s="23">
        <v>26</v>
      </c>
      <c r="D15" s="23">
        <v>13.7</v>
      </c>
      <c r="E15" s="23">
        <v>2.41</v>
      </c>
      <c r="F15" s="264"/>
      <c r="G15" s="264"/>
      <c r="H15" s="264"/>
      <c r="I15" s="264"/>
      <c r="J15" s="264"/>
      <c r="K15" s="70"/>
      <c r="M15" s="47" t="s">
        <v>142</v>
      </c>
      <c r="N15" s="23">
        <v>26</v>
      </c>
      <c r="O15" s="23">
        <v>13.7</v>
      </c>
      <c r="P15" s="23">
        <v>2.41</v>
      </c>
      <c r="R15" s="70"/>
      <c r="S15" s="70"/>
      <c r="T15" s="70"/>
      <c r="U15" s="70"/>
      <c r="V15" s="70"/>
    </row>
    <row r="16" spans="2:22" s="70" customFormat="1">
      <c r="B16" s="47" t="s">
        <v>144</v>
      </c>
      <c r="C16" s="23">
        <v>26</v>
      </c>
      <c r="D16" s="23">
        <v>13.7</v>
      </c>
      <c r="E16" s="23">
        <v>2.89</v>
      </c>
      <c r="F16" s="264"/>
      <c r="G16" s="264"/>
      <c r="H16" s="264"/>
      <c r="I16" s="264"/>
      <c r="J16" s="264"/>
      <c r="K16" s="66"/>
      <c r="L16" s="392"/>
      <c r="M16" s="47" t="s">
        <v>144</v>
      </c>
      <c r="N16" s="23">
        <v>26</v>
      </c>
      <c r="O16" s="23">
        <v>13.7</v>
      </c>
      <c r="P16" s="23">
        <v>2.89</v>
      </c>
      <c r="R16" s="66"/>
      <c r="S16" s="66"/>
      <c r="T16" s="66"/>
      <c r="U16" s="66"/>
      <c r="V16" s="66"/>
    </row>
    <row r="17" spans="2:22">
      <c r="B17" s="47" t="s">
        <v>751</v>
      </c>
      <c r="C17" s="23">
        <v>27</v>
      </c>
      <c r="D17" s="23">
        <v>20.6</v>
      </c>
      <c r="E17" s="23">
        <v>2.17</v>
      </c>
      <c r="F17" s="264"/>
      <c r="G17" s="264"/>
      <c r="H17" s="264"/>
      <c r="I17" s="264"/>
      <c r="J17" s="264"/>
      <c r="K17" s="70"/>
      <c r="M17" s="559" t="s">
        <v>751</v>
      </c>
      <c r="N17" s="23">
        <v>27</v>
      </c>
      <c r="O17" s="23">
        <v>20.6</v>
      </c>
      <c r="P17" s="23">
        <v>2.17</v>
      </c>
      <c r="R17" s="70"/>
      <c r="S17" s="70"/>
      <c r="T17" s="70"/>
      <c r="U17" s="70"/>
      <c r="V17" s="70"/>
    </row>
    <row r="18" spans="2:22" s="70" customFormat="1">
      <c r="B18" s="47" t="s">
        <v>752</v>
      </c>
      <c r="C18" s="23">
        <v>30</v>
      </c>
      <c r="D18" s="23">
        <v>17.399999999999999</v>
      </c>
      <c r="E18" s="23">
        <v>2.41</v>
      </c>
      <c r="F18" s="264"/>
      <c r="G18" s="264"/>
      <c r="H18" s="264"/>
      <c r="I18" s="264"/>
      <c r="J18" s="264"/>
      <c r="K18" s="66"/>
      <c r="L18" s="392"/>
      <c r="M18" s="559" t="s">
        <v>752</v>
      </c>
      <c r="N18" s="23">
        <v>30</v>
      </c>
      <c r="O18" s="23">
        <v>17.399999999999999</v>
      </c>
      <c r="P18" s="23">
        <v>2.41</v>
      </c>
      <c r="R18" s="66"/>
      <c r="S18" s="66"/>
      <c r="T18" s="66"/>
      <c r="U18" s="66"/>
      <c r="V18" s="66"/>
    </row>
    <row r="19" spans="2:22">
      <c r="B19" s="47" t="s">
        <v>381</v>
      </c>
      <c r="C19" s="23">
        <v>35</v>
      </c>
      <c r="D19" s="23">
        <v>12.8</v>
      </c>
      <c r="E19" s="23">
        <v>3.01</v>
      </c>
      <c r="F19" s="264"/>
      <c r="G19" s="264"/>
      <c r="H19" s="264"/>
      <c r="I19" s="264"/>
      <c r="J19" s="264"/>
      <c r="K19" s="70"/>
      <c r="M19" s="47" t="s">
        <v>116</v>
      </c>
      <c r="N19" s="23">
        <v>35</v>
      </c>
      <c r="O19" s="23">
        <v>12.8</v>
      </c>
      <c r="P19" s="23">
        <v>3.01</v>
      </c>
      <c r="R19" s="70"/>
      <c r="S19" s="70"/>
      <c r="T19" s="70"/>
      <c r="U19" s="70"/>
      <c r="V19" s="70"/>
    </row>
    <row r="20" spans="2:22">
      <c r="B20" s="47" t="s">
        <v>382</v>
      </c>
      <c r="C20" s="23">
        <v>30</v>
      </c>
      <c r="D20" s="23">
        <v>9.1999999999999993</v>
      </c>
      <c r="E20" s="23">
        <v>3.13</v>
      </c>
      <c r="F20" s="264"/>
      <c r="G20" s="264"/>
      <c r="H20" s="264"/>
      <c r="I20" s="264"/>
      <c r="J20" s="264"/>
      <c r="M20" s="47" t="s">
        <v>117</v>
      </c>
      <c r="N20" s="23">
        <v>30</v>
      </c>
      <c r="O20" s="23">
        <v>9.1999999999999993</v>
      </c>
      <c r="P20" s="23">
        <v>3.13</v>
      </c>
    </row>
    <row r="21" spans="2:22">
      <c r="B21" s="47" t="s">
        <v>383</v>
      </c>
      <c r="C21" s="23">
        <v>33</v>
      </c>
      <c r="D21" s="23">
        <v>11.7</v>
      </c>
      <c r="E21" s="23">
        <v>3.01</v>
      </c>
      <c r="F21" s="264"/>
      <c r="G21" s="264"/>
      <c r="H21" s="264"/>
      <c r="I21" s="264"/>
      <c r="J21" s="264"/>
      <c r="M21" s="47" t="s">
        <v>118</v>
      </c>
      <c r="N21" s="23">
        <v>33</v>
      </c>
      <c r="O21" s="23">
        <v>11.7</v>
      </c>
      <c r="P21" s="23">
        <v>3.01</v>
      </c>
    </row>
    <row r="22" spans="2:22">
      <c r="B22" s="47" t="s">
        <v>384</v>
      </c>
      <c r="C22" s="23">
        <v>30</v>
      </c>
      <c r="D22" s="23">
        <v>11.5</v>
      </c>
      <c r="E22" s="23">
        <v>3.01</v>
      </c>
      <c r="F22" s="264"/>
      <c r="G22" s="264"/>
      <c r="H22" s="264"/>
      <c r="I22" s="264"/>
      <c r="J22" s="264"/>
      <c r="M22" s="47" t="s">
        <v>119</v>
      </c>
      <c r="N22" s="23">
        <v>30</v>
      </c>
      <c r="O22" s="23">
        <v>11.5</v>
      </c>
      <c r="P22" s="23">
        <v>3.01</v>
      </c>
    </row>
    <row r="23" spans="2:22">
      <c r="B23" s="47" t="s">
        <v>385</v>
      </c>
      <c r="C23" s="23">
        <v>30</v>
      </c>
      <c r="D23" s="23">
        <v>12.1</v>
      </c>
      <c r="E23" s="23">
        <v>3.01</v>
      </c>
      <c r="F23" s="264"/>
      <c r="G23" s="264"/>
      <c r="H23" s="264"/>
      <c r="I23" s="264"/>
      <c r="J23" s="264"/>
      <c r="M23" s="47" t="s">
        <v>120</v>
      </c>
      <c r="N23" s="23">
        <v>30</v>
      </c>
      <c r="O23" s="23">
        <v>12.1</v>
      </c>
      <c r="P23" s="23">
        <v>3.01</v>
      </c>
    </row>
    <row r="24" spans="2:22">
      <c r="B24" s="47" t="s">
        <v>386</v>
      </c>
      <c r="C24" s="23">
        <v>30</v>
      </c>
      <c r="D24" s="23">
        <v>14.9</v>
      </c>
      <c r="E24" s="23">
        <v>3.01</v>
      </c>
      <c r="F24" s="264"/>
      <c r="G24" s="264"/>
      <c r="H24" s="264"/>
      <c r="I24" s="264"/>
      <c r="J24" s="264"/>
      <c r="M24" s="47" t="s">
        <v>121</v>
      </c>
      <c r="N24" s="23">
        <v>30</v>
      </c>
      <c r="O24" s="23">
        <v>14.9</v>
      </c>
      <c r="P24" s="23">
        <v>3.01</v>
      </c>
    </row>
    <row r="25" spans="2:22">
      <c r="B25" s="47" t="s">
        <v>387</v>
      </c>
      <c r="C25" s="23">
        <v>26</v>
      </c>
      <c r="D25" s="23">
        <v>13.7</v>
      </c>
      <c r="E25" s="23">
        <v>2.41</v>
      </c>
      <c r="G25" s="264"/>
      <c r="H25" s="264"/>
      <c r="I25" s="264"/>
      <c r="J25" s="264"/>
      <c r="M25" s="47" t="s">
        <v>122</v>
      </c>
      <c r="N25" s="23">
        <v>26</v>
      </c>
      <c r="O25" s="23">
        <v>13.7</v>
      </c>
      <c r="P25" s="23">
        <v>2.41</v>
      </c>
    </row>
    <row r="26" spans="2:22">
      <c r="B26" s="4"/>
    </row>
  </sheetData>
  <mergeCells count="5">
    <mergeCell ref="H3:J3"/>
    <mergeCell ref="K3:K4"/>
    <mergeCell ref="S3:U3"/>
    <mergeCell ref="C3:E3"/>
    <mergeCell ref="N3:P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theme="2" tint="-0.499984740745262"/>
  </sheetPr>
  <dimension ref="A1:AE73"/>
  <sheetViews>
    <sheetView zoomScale="90" zoomScaleNormal="90" workbookViewId="0">
      <selection activeCell="I9" sqref="I9:K9"/>
    </sheetView>
  </sheetViews>
  <sheetFormatPr baseColWidth="10" defaultRowHeight="15"/>
  <cols>
    <col min="1" max="7" width="14.140625" customWidth="1"/>
    <col min="8" max="8" width="1.5703125" customWidth="1"/>
    <col min="9" max="10" width="10" customWidth="1"/>
    <col min="11" max="11" width="19.42578125" customWidth="1"/>
    <col min="12" max="12" width="9.140625" customWidth="1"/>
    <col min="13" max="13" width="8.5703125" customWidth="1"/>
    <col min="14" max="14" width="1" customWidth="1"/>
    <col min="15" max="15" width="13.5703125" customWidth="1"/>
    <col min="16" max="18" width="14.28515625" customWidth="1"/>
    <col min="19" max="19" width="14" customWidth="1"/>
    <col min="20" max="20" width="13.42578125" customWidth="1"/>
    <col min="21" max="21" width="10.5703125" customWidth="1"/>
    <col min="22" max="22" width="35.42578125" customWidth="1"/>
    <col min="23" max="24" width="10.5703125" customWidth="1"/>
    <col min="25" max="25" width="15.7109375" customWidth="1"/>
    <col min="27" max="27" width="11.85546875" customWidth="1"/>
    <col min="28" max="28" width="9.5703125" customWidth="1"/>
    <col min="29" max="29" width="5.5703125" customWidth="1"/>
    <col min="30" max="30" width="4.5703125" customWidth="1"/>
    <col min="31" max="31" width="3.42578125" customWidth="1"/>
    <col min="32" max="32" width="5.7109375" customWidth="1"/>
    <col min="33" max="33" width="1.140625" customWidth="1"/>
  </cols>
  <sheetData>
    <row r="1" spans="1:31" ht="15" customHeight="1">
      <c r="A1" s="1221" t="s">
        <v>1458</v>
      </c>
      <c r="B1" s="1221"/>
      <c r="C1" s="1221"/>
      <c r="D1" s="1221"/>
      <c r="E1" s="1221"/>
      <c r="F1" s="1221"/>
      <c r="G1" s="1221"/>
      <c r="H1" s="1222"/>
      <c r="I1" s="1222"/>
      <c r="J1" s="1222"/>
      <c r="K1" s="1222"/>
      <c r="L1" s="1222"/>
      <c r="M1" s="1222"/>
      <c r="N1" s="1222"/>
      <c r="O1" s="1222"/>
      <c r="P1" s="1222"/>
      <c r="Q1" s="1222"/>
      <c r="R1" s="1222"/>
      <c r="S1" s="1222"/>
      <c r="T1" s="1222"/>
      <c r="U1" s="48"/>
      <c r="V1" s="48"/>
      <c r="W1" s="48"/>
      <c r="X1" s="48"/>
      <c r="Y1" s="411"/>
      <c r="Z1" s="411"/>
      <c r="AA1" s="411"/>
      <c r="AB1" s="411"/>
      <c r="AC1" s="411"/>
      <c r="AD1" s="411"/>
      <c r="AE1" s="411"/>
    </row>
    <row r="2" spans="1:31" ht="15" customHeight="1" thickBot="1">
      <c r="A2" s="1223"/>
      <c r="B2" s="1223"/>
      <c r="C2" s="1223"/>
      <c r="D2" s="1223"/>
      <c r="E2" s="1223"/>
      <c r="F2" s="1223"/>
      <c r="G2" s="1223"/>
      <c r="H2" s="1222"/>
      <c r="I2" s="1222"/>
      <c r="J2" s="1222"/>
      <c r="K2" s="1222"/>
      <c r="L2" s="1222"/>
      <c r="M2" s="1222"/>
      <c r="N2" s="1222"/>
      <c r="O2" s="1222"/>
      <c r="P2" s="1222"/>
      <c r="Q2" s="1222"/>
      <c r="R2" s="1222"/>
      <c r="S2" s="1222"/>
      <c r="T2" s="1222"/>
      <c r="U2" s="48"/>
      <c r="V2" s="48"/>
      <c r="W2" s="48"/>
      <c r="X2" s="48"/>
      <c r="Y2" s="411"/>
      <c r="Z2" s="411"/>
      <c r="AA2" s="411"/>
      <c r="AB2" s="411"/>
      <c r="AC2" s="411"/>
      <c r="AD2" s="411"/>
      <c r="AE2" s="411"/>
    </row>
    <row r="3" spans="1:31" ht="16.5" customHeight="1" thickBot="1">
      <c r="A3" s="1227" t="s">
        <v>348</v>
      </c>
      <c r="B3" s="1228"/>
      <c r="C3" s="1224" t="s">
        <v>1117</v>
      </c>
      <c r="D3" s="1225"/>
      <c r="E3" s="1225"/>
      <c r="F3" s="1225"/>
      <c r="G3" s="1226"/>
      <c r="I3" s="1192" t="s">
        <v>1170</v>
      </c>
      <c r="J3" s="1193"/>
      <c r="K3" s="1193"/>
      <c r="L3" s="1193"/>
      <c r="M3" s="1194"/>
      <c r="O3" s="1179" t="s">
        <v>1171</v>
      </c>
      <c r="P3" s="1179"/>
      <c r="Q3" s="1179"/>
      <c r="R3" s="1179"/>
      <c r="S3" s="1179"/>
      <c r="U3" s="409"/>
      <c r="V3" s="409"/>
      <c r="W3" s="409"/>
      <c r="X3" s="409"/>
      <c r="Y3" s="409"/>
      <c r="Z3" s="409"/>
      <c r="AA3" s="409"/>
    </row>
    <row r="4" spans="1:31" ht="16.5" customHeight="1" thickBot="1">
      <c r="A4" s="1182" t="s">
        <v>350</v>
      </c>
      <c r="B4" s="1183"/>
      <c r="C4" s="1204" t="s">
        <v>1115</v>
      </c>
      <c r="D4" s="1205"/>
      <c r="E4" s="1205"/>
      <c r="F4" s="1205"/>
      <c r="G4" s="1206"/>
      <c r="I4" s="1195"/>
      <c r="J4" s="1196"/>
      <c r="K4" s="1196"/>
      <c r="L4" s="1196"/>
      <c r="M4" s="1197"/>
      <c r="O4" s="1179"/>
      <c r="P4" s="1179"/>
      <c r="Q4" s="1179"/>
      <c r="R4" s="1179"/>
      <c r="S4" s="1179"/>
      <c r="U4" s="409"/>
      <c r="V4" s="409"/>
      <c r="W4" s="409"/>
      <c r="X4" s="409"/>
      <c r="Z4" s="409"/>
      <c r="AA4" s="409"/>
    </row>
    <row r="5" spans="1:31" ht="16.5" customHeight="1" thickBot="1">
      <c r="A5" s="1182" t="s">
        <v>349</v>
      </c>
      <c r="B5" s="1183"/>
      <c r="C5" s="1184" t="s">
        <v>1116</v>
      </c>
      <c r="D5" s="1185"/>
      <c r="E5" s="1185"/>
      <c r="F5" s="1185"/>
      <c r="G5" s="1186"/>
      <c r="I5" s="1198"/>
      <c r="J5" s="1199"/>
      <c r="K5" s="1199"/>
      <c r="L5" s="1199"/>
      <c r="M5" s="1200"/>
      <c r="O5" s="1179"/>
      <c r="P5" s="1179"/>
      <c r="Q5" s="1179"/>
      <c r="R5" s="1179"/>
      <c r="S5" s="1179"/>
      <c r="U5" s="409"/>
      <c r="V5" s="409"/>
      <c r="W5" s="409"/>
      <c r="X5" s="409"/>
      <c r="Y5" s="409"/>
      <c r="Z5" s="409"/>
      <c r="AA5" s="409"/>
    </row>
    <row r="6" spans="1:31" ht="16.5" customHeight="1" thickBot="1">
      <c r="A6" s="1187" t="s">
        <v>409</v>
      </c>
      <c r="B6" s="1188"/>
      <c r="C6" s="1189" t="s">
        <v>1096</v>
      </c>
      <c r="D6" s="1190"/>
      <c r="E6" s="1190"/>
      <c r="F6" s="1190"/>
      <c r="G6" s="1191"/>
      <c r="I6" s="1201" t="s">
        <v>533</v>
      </c>
      <c r="J6" s="1202"/>
      <c r="K6" s="1202"/>
      <c r="L6" s="1202"/>
      <c r="M6" s="1203"/>
      <c r="O6" s="1179"/>
      <c r="P6" s="1179"/>
      <c r="Q6" s="1179"/>
      <c r="R6" s="1179"/>
      <c r="S6" s="1179"/>
      <c r="U6" s="107"/>
      <c r="V6" s="107"/>
      <c r="W6" s="107"/>
      <c r="X6" s="107"/>
      <c r="Y6" s="107"/>
      <c r="Z6" s="107"/>
      <c r="AA6" s="107"/>
      <c r="AB6" s="107"/>
    </row>
    <row r="7" spans="1:31" ht="16.5" customHeight="1" thickBot="1">
      <c r="A7" s="1173" t="s">
        <v>359</v>
      </c>
      <c r="B7" s="1174"/>
      <c r="C7" s="1175" t="s">
        <v>1114</v>
      </c>
      <c r="D7" s="1176"/>
      <c r="E7" s="1176"/>
      <c r="F7" s="1176"/>
      <c r="G7" s="1177"/>
      <c r="I7" s="1152" t="s">
        <v>410</v>
      </c>
      <c r="J7" s="1153"/>
      <c r="K7" s="1154"/>
      <c r="L7" s="498" t="s">
        <v>18</v>
      </c>
      <c r="M7" s="500" t="s">
        <v>335</v>
      </c>
      <c r="O7" s="1179"/>
      <c r="P7" s="1179"/>
      <c r="Q7" s="1179"/>
      <c r="R7" s="1179"/>
      <c r="S7" s="1179"/>
      <c r="U7" s="107"/>
      <c r="V7" s="432"/>
      <c r="W7" s="107"/>
      <c r="X7" s="107"/>
      <c r="Y7" s="107"/>
      <c r="Z7" s="107"/>
      <c r="AA7" s="107"/>
      <c r="AB7" s="107"/>
    </row>
    <row r="8" spans="1:31" ht="16.5" customHeight="1" thickBot="1">
      <c r="I8" s="1155" t="s">
        <v>163</v>
      </c>
      <c r="J8" s="1156"/>
      <c r="K8" s="1157"/>
      <c r="L8" s="809">
        <v>0</v>
      </c>
      <c r="M8" s="504">
        <f>VLOOKUP(I8,'Daten Tierhaltung'!$B$120:$C$138,2,FALSE)*L8</f>
        <v>0</v>
      </c>
      <c r="O8" s="1181" t="s">
        <v>366</v>
      </c>
      <c r="P8" s="1181"/>
      <c r="Q8" s="1181"/>
      <c r="R8" s="1180" t="str">
        <f>IF(AND(M30&gt;=2.5,M29&gt;=50),"Ist erforderlich",IF(OR(F16="Ja",F20="Ja"),"ist erforderlich","Ist nicht erforderlich"))</f>
        <v>Ist nicht erforderlich</v>
      </c>
      <c r="S8" s="1180"/>
      <c r="T8" s="1054"/>
      <c r="U8" s="1054"/>
      <c r="V8" s="1054"/>
      <c r="W8" s="1054"/>
      <c r="X8" s="1054"/>
      <c r="Y8" s="1054"/>
      <c r="Z8" s="1054"/>
    </row>
    <row r="9" spans="1:31" ht="16.5" customHeight="1" thickBot="1">
      <c r="A9" s="1158" t="s">
        <v>1135</v>
      </c>
      <c r="B9" s="1159"/>
      <c r="C9" s="1159"/>
      <c r="D9" s="1159"/>
      <c r="E9" s="1160"/>
      <c r="F9" s="1167">
        <v>0</v>
      </c>
      <c r="G9" s="1168"/>
      <c r="I9" s="1155" t="s">
        <v>163</v>
      </c>
      <c r="J9" s="1156"/>
      <c r="K9" s="1157"/>
      <c r="L9" s="809">
        <v>0</v>
      </c>
      <c r="M9" s="504">
        <f>VLOOKUP(I9,'Daten Tierhaltung'!$B$120:$C$138,2,FALSE)*L9</f>
        <v>0</v>
      </c>
      <c r="O9" s="1181"/>
      <c r="P9" s="1181"/>
      <c r="Q9" s="1181"/>
      <c r="R9" s="1180"/>
      <c r="S9" s="1180"/>
      <c r="T9" s="1054"/>
      <c r="U9" s="1054" t="s">
        <v>246</v>
      </c>
      <c r="V9" s="1054"/>
      <c r="W9" s="1054"/>
      <c r="X9" s="1054"/>
      <c r="Y9" s="1054"/>
      <c r="Z9" s="1054"/>
    </row>
    <row r="10" spans="1:31" ht="20.25" customHeight="1" thickBot="1">
      <c r="A10" s="1161"/>
      <c r="B10" s="1162"/>
      <c r="C10" s="1162"/>
      <c r="D10" s="1162"/>
      <c r="E10" s="1163"/>
      <c r="F10" s="1169"/>
      <c r="G10" s="1170"/>
      <c r="I10" s="1155" t="s">
        <v>163</v>
      </c>
      <c r="J10" s="1156"/>
      <c r="K10" s="1157"/>
      <c r="L10" s="809">
        <v>0</v>
      </c>
      <c r="M10" s="504">
        <f>VLOOKUP(I10,'Daten Tierhaltung'!$B$120:$C$138,2,FALSE)*L10</f>
        <v>0</v>
      </c>
      <c r="O10" s="1181" t="s">
        <v>367</v>
      </c>
      <c r="P10" s="1181"/>
      <c r="Q10" s="1181"/>
      <c r="R10" s="1180" t="str">
        <f>IF(OR(F9&gt;=20,M29&gt;=50),"Ist erforderlich",IF(OR(F16="Ja",F20="Ja"),"ist erforderlich","Ist nicht erforderlich"))</f>
        <v>Ist nicht erforderlich</v>
      </c>
      <c r="S10" s="1180"/>
      <c r="T10" s="1054"/>
      <c r="U10" s="1054"/>
      <c r="V10" s="1054"/>
      <c r="W10" s="1054"/>
      <c r="X10" s="1054"/>
      <c r="Y10" s="1054"/>
      <c r="Z10" s="1054"/>
    </row>
    <row r="11" spans="1:31" ht="20.25" customHeight="1" thickBot="1">
      <c r="A11" s="1161"/>
      <c r="B11" s="1162"/>
      <c r="C11" s="1162"/>
      <c r="D11" s="1162"/>
      <c r="E11" s="1163"/>
      <c r="F11" s="1169"/>
      <c r="G11" s="1170"/>
      <c r="I11" s="1155" t="s">
        <v>163</v>
      </c>
      <c r="J11" s="1156"/>
      <c r="K11" s="1157"/>
      <c r="L11" s="809">
        <v>0</v>
      </c>
      <c r="M11" s="504">
        <f>VLOOKUP(I11,'Daten Tierhaltung'!$B$120:$C$138,2,FALSE)*L11</f>
        <v>0</v>
      </c>
      <c r="O11" s="1181"/>
      <c r="P11" s="1181"/>
      <c r="Q11" s="1181"/>
      <c r="R11" s="1180"/>
      <c r="S11" s="1180"/>
      <c r="T11" s="1054"/>
      <c r="U11" s="1054"/>
      <c r="V11" s="1054"/>
      <c r="W11" s="1054"/>
      <c r="X11" s="1054"/>
      <c r="Y11" s="1054"/>
      <c r="Z11" s="1054"/>
    </row>
    <row r="12" spans="1:31" ht="20.25" customHeight="1" thickBot="1">
      <c r="A12" s="1164"/>
      <c r="B12" s="1165"/>
      <c r="C12" s="1165"/>
      <c r="D12" s="1165"/>
      <c r="E12" s="1166"/>
      <c r="F12" s="1171"/>
      <c r="G12" s="1172"/>
      <c r="I12" s="1155" t="s">
        <v>163</v>
      </c>
      <c r="J12" s="1156"/>
      <c r="K12" s="1157"/>
      <c r="L12" s="809">
        <v>0</v>
      </c>
      <c r="M12" s="504">
        <f>VLOOKUP(I12,'Daten Tierhaltung'!$B$120:$C$138,2,FALSE)*L12</f>
        <v>0</v>
      </c>
      <c r="O12" s="1178" t="s">
        <v>1136</v>
      </c>
      <c r="P12" s="1178"/>
      <c r="Q12" s="1178"/>
      <c r="R12" s="1178"/>
      <c r="S12" s="1178"/>
      <c r="U12" s="146"/>
    </row>
    <row r="13" spans="1:31" s="1053" customFormat="1" ht="20.25" customHeight="1" thickBot="1">
      <c r="A13" s="101"/>
      <c r="B13" s="101"/>
      <c r="C13" s="101"/>
      <c r="D13" s="101"/>
      <c r="E13" s="101"/>
      <c r="F13" s="1059"/>
      <c r="G13" s="1059"/>
      <c r="I13" s="1155" t="s">
        <v>163</v>
      </c>
      <c r="J13" s="1156"/>
      <c r="K13" s="1157"/>
      <c r="L13" s="809">
        <v>0</v>
      </c>
      <c r="M13" s="504">
        <f>VLOOKUP(I13,'Daten Tierhaltung'!$B$120:$C$138,2,FALSE)*L13</f>
        <v>0</v>
      </c>
      <c r="N13"/>
      <c r="O13" s="1179" t="str">
        <f>IF(AND(R8="Ist erforderlich",R10="Ist erforderlich"),CONCATENATE("Tragen Sie die für die letzten Jahre ermittelten Nährstoffsalden der Stoffstrombilanzen unten ein. Füllen Sie die Tabellenblätter mit eingefärbten Reitern aus."),IF(AND(R10="Ist erforderlich",R8="Ist nicht erforderlich"),CONCATENATE(" Tragen Sie die für die letzten Jahre ermittelten Nährstoffsalden der Stoffstrombilanzen unten ein. Füllen Sie die Tabellenblätter mit eingefärbten Reitern aus."),IF(AND(R8="Ist nicht erforderlich",R10="Ist nicht erforderlich"),"Der Betrieb ist nicht verpflichtet, eine Stoffstrombilanz zu erstellen.",IF(AND(R10="Ist nicht erforderlich",R8="Ist erforderlich"),CONCATENATE("Tragen Sie die für die letzten Jahre ermittelten Nährstoffsalden der Stoffstrombilanzen unten ein. Füllen Sie die Tabellenblätter mit eingefärbten Reitern aus."),""))))</f>
        <v>Der Betrieb ist nicht verpflichtet, eine Stoffstrombilanz zu erstellen.</v>
      </c>
      <c r="P13" s="1179"/>
      <c r="Q13" s="1179"/>
      <c r="R13" s="1179"/>
      <c r="S13" s="1179"/>
      <c r="U13" s="146"/>
    </row>
    <row r="14" spans="1:31" s="1053" customFormat="1" ht="20.25" customHeight="1" thickBot="1">
      <c r="A14" s="1151" t="str">
        <f>IF(AND(Tierhaltung!$M$45&gt;=750,'Organ. Dünger'!I27+Biogasanlage!K50&gt;=750),"Betrieb hat mehr als 750 kg Ges.-N aus eig. Wirtschaftsdg. tier. Herkunft und Zufuhr von mehr als 750 kg Ges.-N durch betriebsfremde Wirtschaftsdg. inkl. Gärreste",IF(Tierhaltung!$M$45&gt;=750,"Betrieb hat mehr als 750 kg Ges.-N aus eig. Wirtschaftsdg. tier. Herkunft",IF('Organ. Dünger'!I27+Biogasanlage!K50&gt;=750,"Zufuhr von mehr als 750 kg Ges.-N durch betriebsfremde Wirtschaftsdg. inkl. Gärreste","")))</f>
        <v/>
      </c>
      <c r="B14" s="1151"/>
      <c r="C14" s="1151"/>
      <c r="D14" s="1151"/>
      <c r="E14" s="1151"/>
      <c r="F14" s="1151"/>
      <c r="G14" s="1151"/>
      <c r="I14" s="1155" t="s">
        <v>163</v>
      </c>
      <c r="J14" s="1156"/>
      <c r="K14" s="1157"/>
      <c r="L14" s="809">
        <v>0</v>
      </c>
      <c r="M14" s="504">
        <f>VLOOKUP(I14,'Daten Tierhaltung'!$B$120:$C$138,2,FALSE)*L14</f>
        <v>0</v>
      </c>
      <c r="N14"/>
      <c r="O14" s="1179"/>
      <c r="P14" s="1179"/>
      <c r="Q14" s="1179"/>
      <c r="R14" s="1179"/>
      <c r="S14" s="1179"/>
      <c r="U14" s="146"/>
    </row>
    <row r="15" spans="1:31" s="1053" customFormat="1" ht="20.25" customHeight="1" thickBot="1">
      <c r="A15" s="1151"/>
      <c r="B15" s="1151"/>
      <c r="C15" s="1151"/>
      <c r="D15" s="1151"/>
      <c r="E15" s="1151"/>
      <c r="F15" s="1151"/>
      <c r="G15" s="1151"/>
      <c r="I15" s="1155" t="s">
        <v>163</v>
      </c>
      <c r="J15" s="1156"/>
      <c r="K15" s="1157"/>
      <c r="L15" s="809">
        <v>0</v>
      </c>
      <c r="M15" s="504">
        <f>VLOOKUP(I15,'Daten Tierhaltung'!$B$120:$C$138,2,FALSE)*L15</f>
        <v>0</v>
      </c>
      <c r="N15"/>
      <c r="O15" s="1179"/>
      <c r="P15" s="1179"/>
      <c r="Q15" s="1179"/>
      <c r="R15" s="1179"/>
      <c r="S15" s="1179"/>
      <c r="U15" s="146"/>
    </row>
    <row r="16" spans="1:31" s="1053" customFormat="1" ht="20.25" customHeight="1" thickBot="1">
      <c r="A16" s="1255" t="s">
        <v>1466</v>
      </c>
      <c r="B16" s="1256"/>
      <c r="C16" s="1256"/>
      <c r="D16" s="1256"/>
      <c r="E16" s="1257"/>
      <c r="F16" s="1264" t="s">
        <v>1244</v>
      </c>
      <c r="G16" s="1265"/>
      <c r="I16" s="1155" t="s">
        <v>163</v>
      </c>
      <c r="J16" s="1156"/>
      <c r="K16" s="1157"/>
      <c r="L16" s="809">
        <v>0</v>
      </c>
      <c r="M16" s="504">
        <f>VLOOKUP(I16,'Daten Tierhaltung'!$B$120:$C$138,2,FALSE)*L16</f>
        <v>0</v>
      </c>
      <c r="N16"/>
      <c r="O16" s="1179"/>
      <c r="P16" s="1179"/>
      <c r="Q16" s="1179"/>
      <c r="R16" s="1179"/>
      <c r="S16" s="1179"/>
      <c r="U16" s="146"/>
    </row>
    <row r="17" spans="1:21" ht="20.25" customHeight="1" thickBot="1">
      <c r="A17" s="1258"/>
      <c r="B17" s="1259"/>
      <c r="C17" s="1259"/>
      <c r="D17" s="1259"/>
      <c r="E17" s="1260"/>
      <c r="F17" s="1266"/>
      <c r="G17" s="1267"/>
      <c r="I17" s="1155" t="s">
        <v>163</v>
      </c>
      <c r="J17" s="1156"/>
      <c r="K17" s="1157"/>
      <c r="L17" s="809">
        <v>0</v>
      </c>
      <c r="M17" s="504">
        <f>VLOOKUP(I17,'Daten Tierhaltung'!$B$120:$C$138,2,FALSE)*L17</f>
        <v>0</v>
      </c>
      <c r="O17" s="1246"/>
      <c r="P17" s="1247"/>
      <c r="Q17" s="1247"/>
      <c r="R17" s="1247"/>
      <c r="S17" s="1248"/>
      <c r="U17" s="146"/>
    </row>
    <row r="18" spans="1:21" ht="16.5" customHeight="1">
      <c r="A18" s="1258"/>
      <c r="B18" s="1259"/>
      <c r="C18" s="1259"/>
      <c r="D18" s="1259"/>
      <c r="E18" s="1260"/>
      <c r="F18" s="1266"/>
      <c r="G18" s="1267"/>
      <c r="I18" s="1155" t="s">
        <v>163</v>
      </c>
      <c r="J18" s="1156"/>
      <c r="K18" s="1157"/>
      <c r="L18" s="809">
        <v>0</v>
      </c>
      <c r="M18" s="504">
        <f>VLOOKUP(I18,'Daten Tierhaltung'!$B$120:$C$138,2,FALSE)*L18</f>
        <v>0</v>
      </c>
      <c r="N18" s="1051"/>
      <c r="O18" s="1234"/>
      <c r="P18" s="1237" t="s">
        <v>974</v>
      </c>
      <c r="Q18" s="1238"/>
      <c r="R18" s="1239"/>
      <c r="S18" s="1234" t="s">
        <v>1209</v>
      </c>
      <c r="U18" s="433"/>
    </row>
    <row r="19" spans="1:21" ht="16.5" customHeight="1" thickBot="1">
      <c r="A19" s="1261"/>
      <c r="B19" s="1262"/>
      <c r="C19" s="1262"/>
      <c r="D19" s="1262"/>
      <c r="E19" s="1263"/>
      <c r="F19" s="1268"/>
      <c r="G19" s="1269"/>
      <c r="I19" s="1155" t="s">
        <v>163</v>
      </c>
      <c r="J19" s="1156"/>
      <c r="K19" s="1157"/>
      <c r="L19" s="809">
        <v>0</v>
      </c>
      <c r="M19" s="504">
        <f>VLOOKUP(I19,'Daten Tierhaltung'!$B$120:$C$138,2,FALSE)*L19</f>
        <v>0</v>
      </c>
      <c r="O19" s="1235"/>
      <c r="P19" s="1240"/>
      <c r="Q19" s="1241"/>
      <c r="R19" s="1242"/>
      <c r="S19" s="1235"/>
      <c r="U19" s="763"/>
    </row>
    <row r="20" spans="1:21" ht="16.5" customHeight="1">
      <c r="A20" s="1255" t="s">
        <v>1137</v>
      </c>
      <c r="B20" s="1256"/>
      <c r="C20" s="1256"/>
      <c r="D20" s="1256"/>
      <c r="E20" s="1257"/>
      <c r="F20" s="1264" t="s">
        <v>1244</v>
      </c>
      <c r="G20" s="1265"/>
      <c r="I20" s="1155" t="s">
        <v>163</v>
      </c>
      <c r="J20" s="1156"/>
      <c r="K20" s="1157"/>
      <c r="L20" s="809">
        <v>0</v>
      </c>
      <c r="M20" s="504">
        <f>VLOOKUP(I20,'Daten Tierhaltung'!$B$120:$C$138,2,FALSE)*L20</f>
        <v>0</v>
      </c>
      <c r="O20" s="1235"/>
      <c r="P20" s="1240"/>
      <c r="Q20" s="1241"/>
      <c r="R20" s="1242"/>
      <c r="S20" s="1235"/>
      <c r="U20" s="763"/>
    </row>
    <row r="21" spans="1:21" ht="16.5" customHeight="1">
      <c r="A21" s="1258"/>
      <c r="B21" s="1259"/>
      <c r="C21" s="1259"/>
      <c r="D21" s="1259"/>
      <c r="E21" s="1260"/>
      <c r="F21" s="1266"/>
      <c r="G21" s="1267"/>
      <c r="I21" s="1155" t="s">
        <v>163</v>
      </c>
      <c r="J21" s="1156"/>
      <c r="K21" s="1157"/>
      <c r="L21" s="809">
        <v>0</v>
      </c>
      <c r="M21" s="504">
        <f>VLOOKUP(I21,'Daten Tierhaltung'!$B$120:$C$138,2,FALSE)*L21</f>
        <v>0</v>
      </c>
      <c r="O21" s="1235"/>
      <c r="P21" s="1240"/>
      <c r="Q21" s="1241"/>
      <c r="R21" s="1242"/>
      <c r="S21" s="1235"/>
      <c r="U21" s="499"/>
    </row>
    <row r="22" spans="1:21" s="1051" customFormat="1" ht="16.5" customHeight="1" thickBot="1">
      <c r="A22" s="1258"/>
      <c r="B22" s="1259"/>
      <c r="C22" s="1259"/>
      <c r="D22" s="1259"/>
      <c r="E22" s="1260"/>
      <c r="F22" s="1266"/>
      <c r="G22" s="1267"/>
      <c r="I22" s="1155" t="s">
        <v>163</v>
      </c>
      <c r="J22" s="1156"/>
      <c r="K22" s="1157"/>
      <c r="L22" s="809">
        <v>0</v>
      </c>
      <c r="M22" s="504">
        <f>VLOOKUP(I22,'Daten Tierhaltung'!$B$120:$C$138,2,FALSE)*L22</f>
        <v>0</v>
      </c>
      <c r="N22"/>
      <c r="O22" s="1236"/>
      <c r="P22" s="1243"/>
      <c r="Q22" s="1244"/>
      <c r="R22" s="1245"/>
      <c r="S22" s="1236"/>
      <c r="U22" s="1050"/>
    </row>
    <row r="23" spans="1:21" ht="16.5" customHeight="1" thickBot="1">
      <c r="A23" s="1261"/>
      <c r="B23" s="1262"/>
      <c r="C23" s="1262"/>
      <c r="D23" s="1262"/>
      <c r="E23" s="1263"/>
      <c r="F23" s="1268"/>
      <c r="G23" s="1269"/>
      <c r="I23" s="1155" t="s">
        <v>163</v>
      </c>
      <c r="J23" s="1156"/>
      <c r="K23" s="1157"/>
      <c r="L23" s="809">
        <v>0</v>
      </c>
      <c r="M23" s="504">
        <f>VLOOKUP(I23,'Daten Tierhaltung'!$B$120:$C$138,2,FALSE)*L23</f>
        <v>0</v>
      </c>
      <c r="O23" s="1213" t="s">
        <v>358</v>
      </c>
      <c r="P23" s="1210" t="s">
        <v>973</v>
      </c>
      <c r="Q23" s="1210" t="s">
        <v>972</v>
      </c>
      <c r="R23" s="1216" t="s">
        <v>442</v>
      </c>
      <c r="S23" s="1210" t="s">
        <v>113</v>
      </c>
      <c r="U23" s="146"/>
    </row>
    <row r="24" spans="1:21" ht="16.5" customHeight="1">
      <c r="I24" s="1155" t="s">
        <v>163</v>
      </c>
      <c r="J24" s="1156"/>
      <c r="K24" s="1157"/>
      <c r="L24" s="809">
        <v>0</v>
      </c>
      <c r="M24" s="504">
        <f>VLOOKUP(I24,'Daten Tierhaltung'!$B$120:$C$138,2,FALSE)*L24</f>
        <v>0</v>
      </c>
      <c r="O24" s="1214"/>
      <c r="P24" s="1211"/>
      <c r="Q24" s="1211"/>
      <c r="R24" s="1217"/>
      <c r="S24" s="1211"/>
      <c r="U24" s="146"/>
    </row>
    <row r="25" spans="1:21" ht="16.5" customHeight="1" thickBot="1">
      <c r="A25" s="895"/>
      <c r="B25" s="899"/>
      <c r="F25" s="899"/>
      <c r="G25" s="899"/>
      <c r="I25" s="1155" t="s">
        <v>163</v>
      </c>
      <c r="J25" s="1156"/>
      <c r="K25" s="1157"/>
      <c r="L25" s="809">
        <v>0</v>
      </c>
      <c r="M25" s="504">
        <f>VLOOKUP(I25,'Daten Tierhaltung'!$B$120:$C$138,2,FALSE)*L25</f>
        <v>0</v>
      </c>
      <c r="O25" s="1215"/>
      <c r="P25" s="1212"/>
      <c r="Q25" s="1212"/>
      <c r="R25" s="1218"/>
      <c r="S25" s="1212"/>
      <c r="U25" s="146"/>
    </row>
    <row r="26" spans="1:21" ht="16.5" customHeight="1" thickBot="1">
      <c r="A26" s="1229" t="s">
        <v>353</v>
      </c>
      <c r="B26" s="1231" t="s">
        <v>354</v>
      </c>
      <c r="C26" s="1232"/>
      <c r="D26" s="1233"/>
      <c r="E26" s="1231" t="s">
        <v>355</v>
      </c>
      <c r="F26" s="1232"/>
      <c r="G26" s="1233"/>
      <c r="I26" s="1155" t="s">
        <v>163</v>
      </c>
      <c r="J26" s="1156"/>
      <c r="K26" s="1157"/>
      <c r="L26" s="809">
        <v>0</v>
      </c>
      <c r="M26" s="504">
        <f>VLOOKUP(I26,'Daten Tierhaltung'!$B$120:$C$138,2,FALSE)*L26</f>
        <v>0</v>
      </c>
      <c r="O26" s="495" t="s">
        <v>376</v>
      </c>
      <c r="P26" s="812">
        <v>0</v>
      </c>
      <c r="Q26" s="814">
        <v>0</v>
      </c>
      <c r="R26" s="815">
        <v>0</v>
      </c>
      <c r="S26" s="939">
        <v>0</v>
      </c>
    </row>
    <row r="27" spans="1:21" ht="16.5" customHeight="1" thickBot="1">
      <c r="A27" s="1229"/>
      <c r="B27" s="492" t="s">
        <v>356</v>
      </c>
      <c r="C27" s="494" t="s">
        <v>357</v>
      </c>
      <c r="D27" s="493" t="s">
        <v>161</v>
      </c>
      <c r="E27" s="492" t="s">
        <v>356</v>
      </c>
      <c r="F27" s="494" t="s">
        <v>357</v>
      </c>
      <c r="G27" s="493" t="s">
        <v>161</v>
      </c>
      <c r="I27" s="1155" t="s">
        <v>163</v>
      </c>
      <c r="J27" s="1156"/>
      <c r="K27" s="1157"/>
      <c r="L27" s="809">
        <v>0</v>
      </c>
      <c r="M27" s="504">
        <f>VLOOKUP(I27,'Daten Tierhaltung'!$B$120:$C$138,2,FALSE)*L27</f>
        <v>0</v>
      </c>
      <c r="O27" s="496" t="s">
        <v>377</v>
      </c>
      <c r="P27" s="813">
        <v>0</v>
      </c>
      <c r="Q27" s="813">
        <v>0</v>
      </c>
      <c r="R27" s="811">
        <v>0</v>
      </c>
      <c r="S27" s="940">
        <v>0</v>
      </c>
    </row>
    <row r="28" spans="1:21" ht="16.5" customHeight="1" thickBot="1">
      <c r="A28" s="1230"/>
      <c r="B28" s="806">
        <v>1</v>
      </c>
      <c r="C28" s="807">
        <v>1</v>
      </c>
      <c r="D28" s="808">
        <v>2020</v>
      </c>
      <c r="E28" s="806">
        <v>31</v>
      </c>
      <c r="F28" s="807">
        <v>12</v>
      </c>
      <c r="G28" s="808">
        <v>2020</v>
      </c>
      <c r="I28" s="1155" t="s">
        <v>163</v>
      </c>
      <c r="J28" s="1156"/>
      <c r="K28" s="1157"/>
      <c r="L28" s="810">
        <v>0</v>
      </c>
      <c r="M28" s="504">
        <f>VLOOKUP(I28,'Daten Tierhaltung'!$B$120:$C$138,2,FALSE)*L28</f>
        <v>0</v>
      </c>
      <c r="O28" s="496" t="s">
        <v>378</v>
      </c>
      <c r="P28" s="901"/>
      <c r="Q28" s="901"/>
      <c r="R28" s="901"/>
      <c r="S28" s="941">
        <v>0</v>
      </c>
    </row>
    <row r="29" spans="1:21" ht="16.5" customHeight="1" thickBot="1">
      <c r="A29" s="1249" t="s">
        <v>352</v>
      </c>
      <c r="B29" s="1250"/>
      <c r="C29" s="1251"/>
      <c r="D29" s="1252" t="s">
        <v>1115</v>
      </c>
      <c r="E29" s="1253"/>
      <c r="F29" s="1253"/>
      <c r="G29" s="1254"/>
      <c r="I29" s="1207" t="s">
        <v>38</v>
      </c>
      <c r="J29" s="1208"/>
      <c r="K29" s="1208"/>
      <c r="L29" s="1209"/>
      <c r="M29" s="85">
        <f>SUM(M8:M28)</f>
        <v>0</v>
      </c>
      <c r="O29" s="496" t="s">
        <v>379</v>
      </c>
      <c r="P29" s="902"/>
      <c r="Q29" s="902"/>
      <c r="R29" s="902"/>
      <c r="S29" s="940">
        <v>0</v>
      </c>
    </row>
    <row r="30" spans="1:21" ht="16.5" customHeight="1" thickBot="1">
      <c r="A30" s="1273" t="s">
        <v>534</v>
      </c>
      <c r="B30" s="1274"/>
      <c r="C30" s="1275"/>
      <c r="D30" s="1270">
        <f ca="1">TODAY()</f>
        <v>44467</v>
      </c>
      <c r="E30" s="1271"/>
      <c r="F30" s="1271"/>
      <c r="G30" s="1272"/>
      <c r="I30" s="1207" t="s">
        <v>1134</v>
      </c>
      <c r="J30" s="1208"/>
      <c r="K30" s="1208"/>
      <c r="L30" s="1209"/>
      <c r="M30" s="84">
        <f>IF(F9=0,0,M29/F9)</f>
        <v>0</v>
      </c>
      <c r="O30" s="497" t="s">
        <v>380</v>
      </c>
      <c r="P30" s="903"/>
      <c r="Q30" s="903"/>
      <c r="R30" s="903"/>
      <c r="S30" s="942">
        <v>0</v>
      </c>
    </row>
    <row r="31" spans="1:21" ht="16.5" customHeight="1">
      <c r="I31" s="503"/>
      <c r="J31" s="503"/>
      <c r="K31" s="503"/>
      <c r="L31" s="503"/>
      <c r="M31" s="503"/>
      <c r="O31" s="430"/>
      <c r="P31" s="430"/>
      <c r="Q31" s="430"/>
      <c r="R31" s="430"/>
      <c r="S31" s="430"/>
    </row>
    <row r="32" spans="1:21" ht="16.5" customHeight="1">
      <c r="I32" s="1219"/>
      <c r="J32" s="1220"/>
      <c r="K32" s="1220"/>
      <c r="L32" s="1220"/>
      <c r="M32" s="1220"/>
      <c r="O32" s="430"/>
      <c r="P32" s="430"/>
      <c r="Q32" s="430"/>
      <c r="R32" s="430"/>
      <c r="S32" s="430"/>
    </row>
    <row r="33" spans="1:27" ht="16.5" customHeight="1">
      <c r="A33" s="19"/>
      <c r="B33" s="19"/>
      <c r="C33" s="19"/>
      <c r="D33" s="19"/>
      <c r="E33" s="19"/>
      <c r="I33" s="1219"/>
      <c r="J33" s="1220"/>
      <c r="K33" s="1220"/>
      <c r="L33" s="1220"/>
      <c r="M33" s="1220"/>
      <c r="O33" s="491"/>
      <c r="P33" s="491"/>
      <c r="Q33" s="491"/>
      <c r="R33" s="491"/>
      <c r="S33" s="491"/>
    </row>
    <row r="34" spans="1:27" ht="16.5" customHeight="1">
      <c r="A34" s="19"/>
      <c r="B34" s="19"/>
      <c r="C34" s="19"/>
      <c r="D34" s="19"/>
      <c r="E34" s="19"/>
      <c r="F34" s="19"/>
      <c r="I34" s="1219"/>
      <c r="J34" s="1220"/>
      <c r="K34" s="1220"/>
      <c r="L34" s="1220"/>
      <c r="M34" s="1220"/>
      <c r="O34" s="491"/>
      <c r="P34" s="491"/>
      <c r="Q34" s="491"/>
      <c r="R34" s="491"/>
      <c r="S34" s="491"/>
      <c r="T34" s="430"/>
    </row>
    <row r="35" spans="1:27" ht="16.5" customHeight="1">
      <c r="A35" s="19"/>
      <c r="B35" s="19"/>
      <c r="C35" s="19"/>
      <c r="D35" s="19"/>
      <c r="E35" s="19"/>
      <c r="F35" s="19"/>
      <c r="I35" s="1219"/>
      <c r="J35" s="1220"/>
      <c r="K35" s="1220"/>
      <c r="L35" s="1220"/>
      <c r="M35" s="1220"/>
      <c r="O35" s="430"/>
      <c r="P35" s="430"/>
      <c r="Q35" s="430"/>
      <c r="R35" s="430"/>
      <c r="S35" s="430"/>
      <c r="T35" s="430"/>
    </row>
    <row r="36" spans="1:27" ht="16.5" customHeight="1">
      <c r="A36" s="19"/>
      <c r="B36" s="19"/>
      <c r="C36" s="19"/>
      <c r="D36" s="19"/>
      <c r="E36" s="19"/>
      <c r="F36" s="19"/>
      <c r="J36" s="876"/>
      <c r="K36" s="876"/>
      <c r="L36" s="876"/>
      <c r="M36" s="876"/>
      <c r="O36" s="430"/>
      <c r="P36" s="430"/>
      <c r="Q36" s="430"/>
      <c r="R36" s="430"/>
      <c r="S36" s="430"/>
      <c r="T36" s="491"/>
    </row>
    <row r="37" spans="1:27" ht="16.5" customHeight="1">
      <c r="A37" s="19"/>
      <c r="B37" s="19"/>
      <c r="C37" s="19"/>
      <c r="D37" s="19"/>
      <c r="E37" s="19"/>
      <c r="F37" s="19"/>
      <c r="I37" s="877"/>
      <c r="J37" s="877"/>
      <c r="K37" s="877"/>
      <c r="L37" s="877"/>
      <c r="M37" s="877"/>
      <c r="O37" s="430"/>
      <c r="P37" s="430"/>
      <c r="Q37" s="430"/>
      <c r="R37" s="430"/>
      <c r="S37" s="430"/>
      <c r="T37" s="491"/>
    </row>
    <row r="38" spans="1:27" ht="16.5" customHeight="1">
      <c r="A38" s="19"/>
      <c r="B38" s="19"/>
      <c r="C38" s="19"/>
      <c r="D38" s="19"/>
      <c r="E38" s="19"/>
      <c r="F38" s="19"/>
      <c r="I38" s="294"/>
      <c r="J38" s="294"/>
      <c r="K38" s="294"/>
      <c r="L38" s="294"/>
      <c r="M38" s="294"/>
      <c r="O38" s="430"/>
      <c r="P38" s="430"/>
      <c r="Q38" s="430"/>
      <c r="R38" s="430"/>
      <c r="S38" s="430"/>
      <c r="T38" s="430"/>
      <c r="U38" s="408"/>
      <c r="V38" s="408"/>
    </row>
    <row r="39" spans="1:27" ht="16.5" customHeight="1">
      <c r="A39" s="19"/>
      <c r="B39" s="19"/>
      <c r="C39" s="19"/>
      <c r="D39" s="19"/>
      <c r="E39" s="19"/>
      <c r="F39" s="19"/>
      <c r="I39" s="294"/>
      <c r="J39" s="294"/>
      <c r="K39" s="294"/>
      <c r="L39" s="294"/>
      <c r="M39" s="294"/>
      <c r="O39" s="430"/>
      <c r="P39" s="430"/>
      <c r="Q39" s="430"/>
      <c r="R39" s="430"/>
      <c r="S39" s="430"/>
      <c r="T39" s="430"/>
      <c r="U39" s="430"/>
      <c r="V39" s="430"/>
      <c r="W39" s="430"/>
      <c r="X39" s="430"/>
      <c r="Y39" s="430"/>
    </row>
    <row r="40" spans="1:27">
      <c r="A40" s="19"/>
      <c r="B40" s="19"/>
      <c r="C40" s="19"/>
      <c r="D40" s="19"/>
      <c r="E40" s="19"/>
      <c r="F40" s="19"/>
      <c r="I40" s="294"/>
      <c r="J40" s="294"/>
      <c r="K40" s="294"/>
      <c r="L40" s="294"/>
      <c r="M40" s="294"/>
      <c r="O40" s="430"/>
      <c r="P40" s="430"/>
      <c r="Q40" s="430"/>
      <c r="R40" s="430"/>
      <c r="S40" s="430"/>
      <c r="T40" s="430"/>
      <c r="U40" s="430"/>
      <c r="V40" s="430"/>
      <c r="W40" s="430"/>
      <c r="X40" s="430"/>
      <c r="Y40" s="430"/>
      <c r="Z40" s="430"/>
    </row>
    <row r="41" spans="1:27">
      <c r="A41" s="19"/>
      <c r="B41" s="19"/>
      <c r="C41" s="19"/>
      <c r="D41" s="19"/>
      <c r="E41" s="19"/>
      <c r="F41" s="19"/>
      <c r="I41" s="294"/>
      <c r="J41" s="294"/>
      <c r="K41" s="294"/>
      <c r="L41" s="294"/>
      <c r="M41" s="294"/>
      <c r="O41" s="430"/>
      <c r="P41" s="430"/>
      <c r="Q41" s="430"/>
      <c r="R41" s="430"/>
      <c r="S41" s="430"/>
      <c r="T41" s="430"/>
      <c r="U41" s="430"/>
      <c r="V41" s="430"/>
      <c r="W41" s="430"/>
      <c r="X41" s="430"/>
      <c r="Y41" s="430"/>
      <c r="Z41" s="430"/>
      <c r="AA41" s="430"/>
    </row>
    <row r="42" spans="1:27" ht="15" customHeight="1">
      <c r="I42" s="294"/>
      <c r="J42" s="294"/>
      <c r="K42" s="294"/>
      <c r="L42" s="294"/>
      <c r="M42" s="294"/>
      <c r="O42" s="430"/>
      <c r="P42" s="430"/>
      <c r="Q42" s="430"/>
      <c r="R42" s="430"/>
      <c r="S42" s="430"/>
      <c r="T42" s="430"/>
      <c r="U42" s="430"/>
      <c r="V42" s="430"/>
      <c r="W42" s="430"/>
      <c r="X42" s="430"/>
      <c r="Y42" s="430"/>
      <c r="Z42" s="430"/>
      <c r="AA42" s="430"/>
    </row>
    <row r="43" spans="1:27" ht="15" customHeight="1">
      <c r="I43" s="294"/>
      <c r="J43" s="294"/>
      <c r="K43" s="294"/>
      <c r="L43" s="294"/>
      <c r="M43" s="294"/>
      <c r="O43" s="430"/>
      <c r="P43" s="430"/>
      <c r="Q43" s="430"/>
      <c r="R43" s="430"/>
      <c r="S43" s="430"/>
      <c r="T43" s="430"/>
      <c r="U43" s="491"/>
      <c r="V43" s="491"/>
      <c r="W43" s="491"/>
      <c r="X43" s="491"/>
      <c r="Y43" s="491"/>
      <c r="Z43" s="491"/>
      <c r="AA43" s="491"/>
    </row>
    <row r="44" spans="1:27" ht="15" customHeight="1">
      <c r="H44" s="503"/>
      <c r="I44" s="294"/>
      <c r="J44" s="294"/>
      <c r="K44" s="294"/>
      <c r="L44" s="294"/>
      <c r="M44" s="294"/>
      <c r="O44" s="430"/>
      <c r="P44" s="430"/>
      <c r="Q44" s="430"/>
      <c r="R44" s="430"/>
      <c r="S44" s="430"/>
      <c r="T44" s="430"/>
      <c r="U44" s="491"/>
      <c r="V44" s="491"/>
      <c r="W44" s="491"/>
      <c r="X44" s="491"/>
      <c r="Y44" s="491"/>
      <c r="Z44" s="491"/>
      <c r="AA44" s="491"/>
    </row>
    <row r="45" spans="1:27" ht="15" customHeight="1">
      <c r="I45" s="294"/>
      <c r="J45" s="294"/>
      <c r="K45" s="294"/>
      <c r="L45" s="294"/>
      <c r="M45" s="294"/>
      <c r="O45" s="108"/>
      <c r="P45" s="108"/>
      <c r="Q45" s="108"/>
      <c r="R45" s="108"/>
      <c r="S45" s="108"/>
      <c r="T45" s="430"/>
      <c r="U45" s="430"/>
      <c r="V45" s="430"/>
      <c r="W45" s="430"/>
      <c r="X45" s="430"/>
      <c r="Y45" s="430"/>
      <c r="Z45" s="430"/>
      <c r="AA45" s="430"/>
    </row>
    <row r="46" spans="1:27" ht="15" customHeight="1">
      <c r="I46" s="294"/>
      <c r="J46" s="294"/>
      <c r="K46" s="294"/>
      <c r="L46" s="294"/>
      <c r="M46" s="294"/>
      <c r="O46" s="430"/>
      <c r="P46" s="430"/>
      <c r="Q46" s="430"/>
      <c r="R46" s="430"/>
      <c r="S46" s="430"/>
      <c r="T46" s="430"/>
      <c r="U46" s="430"/>
      <c r="V46" s="430"/>
      <c r="W46" s="430"/>
      <c r="X46" s="430"/>
      <c r="Y46" s="430"/>
      <c r="Z46" s="430"/>
      <c r="AA46" s="430"/>
    </row>
    <row r="47" spans="1:27" ht="15" customHeight="1">
      <c r="I47" s="294"/>
      <c r="J47" s="294"/>
      <c r="K47" s="294"/>
      <c r="L47" s="294"/>
      <c r="M47" s="294"/>
      <c r="O47" s="430"/>
      <c r="P47" s="430"/>
      <c r="Q47" s="430"/>
      <c r="R47" s="430"/>
      <c r="S47" s="430"/>
      <c r="T47" s="430"/>
      <c r="U47" s="430"/>
      <c r="V47" s="430"/>
      <c r="W47" s="430"/>
      <c r="X47" s="430"/>
      <c r="Y47" s="430"/>
      <c r="Z47" s="430"/>
      <c r="AA47" s="430"/>
    </row>
    <row r="48" spans="1:27" ht="15" customHeight="1">
      <c r="I48" s="294"/>
      <c r="J48" s="294"/>
      <c r="K48" s="294"/>
      <c r="L48" s="294"/>
      <c r="M48" s="294"/>
      <c r="O48" s="430"/>
      <c r="P48" s="430"/>
      <c r="Q48" s="430"/>
      <c r="R48" s="430"/>
      <c r="S48" s="430"/>
      <c r="T48" s="108"/>
      <c r="U48" s="430"/>
      <c r="V48" s="430"/>
      <c r="W48" s="430"/>
      <c r="X48" s="430"/>
      <c r="Y48" s="430"/>
      <c r="Z48" s="430"/>
      <c r="AA48" s="430"/>
    </row>
    <row r="49" spans="1:27" ht="15" customHeight="1">
      <c r="I49" s="294"/>
      <c r="J49" s="294"/>
      <c r="K49" s="294"/>
      <c r="L49" s="294"/>
      <c r="M49" s="294"/>
      <c r="O49" s="430"/>
      <c r="P49" s="430"/>
      <c r="Q49" s="430"/>
      <c r="R49" s="430"/>
      <c r="S49" s="430"/>
      <c r="T49" s="430"/>
      <c r="U49" s="430"/>
      <c r="V49" s="430"/>
      <c r="W49" s="430"/>
      <c r="X49" s="430"/>
      <c r="Y49" s="430"/>
      <c r="Z49" s="430"/>
      <c r="AA49" s="430"/>
    </row>
    <row r="50" spans="1:27" ht="15" customHeight="1">
      <c r="I50" s="294"/>
      <c r="J50" s="294"/>
      <c r="K50" s="294"/>
      <c r="L50" s="294"/>
      <c r="M50" s="294"/>
      <c r="O50" s="430"/>
      <c r="P50" s="430"/>
      <c r="Q50" s="430"/>
      <c r="R50" s="430"/>
      <c r="S50" s="430"/>
      <c r="T50" s="430"/>
      <c r="U50" s="430"/>
      <c r="V50" s="430"/>
      <c r="W50" s="430"/>
      <c r="X50" s="430"/>
      <c r="Y50" s="430"/>
      <c r="Z50" s="430"/>
      <c r="AA50" s="430"/>
    </row>
    <row r="51" spans="1:27" ht="15" customHeight="1">
      <c r="A51" s="327"/>
      <c r="I51" s="294"/>
      <c r="J51" s="294"/>
      <c r="K51" s="294"/>
      <c r="L51" s="294"/>
      <c r="M51" s="294"/>
      <c r="O51" s="430"/>
      <c r="P51" s="430"/>
      <c r="Q51" s="430"/>
      <c r="R51" s="430"/>
      <c r="S51" s="430"/>
      <c r="T51" s="430"/>
      <c r="U51" s="430"/>
      <c r="V51" s="430"/>
      <c r="W51" s="430"/>
      <c r="X51" s="430"/>
      <c r="Y51" s="430"/>
      <c r="Z51" s="430"/>
      <c r="AA51" s="430"/>
    </row>
    <row r="52" spans="1:27" ht="15" customHeight="1">
      <c r="A52" s="502"/>
      <c r="B52" s="502"/>
      <c r="C52" s="502"/>
      <c r="D52" s="502"/>
      <c r="E52" s="502"/>
      <c r="F52" s="502"/>
      <c r="G52" s="502"/>
      <c r="I52" s="501"/>
      <c r="J52" s="501"/>
      <c r="K52" s="501"/>
      <c r="L52" s="501"/>
      <c r="M52" s="501"/>
      <c r="O52" s="430"/>
      <c r="P52" s="430"/>
      <c r="Q52" s="430"/>
      <c r="R52" s="430"/>
      <c r="S52" s="430"/>
      <c r="T52" s="430"/>
      <c r="U52" s="430"/>
      <c r="V52" s="430"/>
      <c r="W52" s="430"/>
      <c r="X52" s="430"/>
      <c r="Y52" s="430"/>
      <c r="Z52" s="430"/>
      <c r="AA52" s="430"/>
    </row>
    <row r="53" spans="1:27" ht="15" customHeight="1">
      <c r="A53" s="502"/>
      <c r="B53" s="502"/>
      <c r="C53" s="502"/>
      <c r="D53" s="502"/>
      <c r="E53" s="502"/>
      <c r="F53" s="502"/>
      <c r="G53" s="502"/>
      <c r="O53" s="430"/>
      <c r="P53" s="430"/>
      <c r="Q53" s="430"/>
      <c r="R53" s="430"/>
      <c r="S53" s="430"/>
      <c r="T53" s="430"/>
      <c r="U53" s="430"/>
      <c r="V53" s="108"/>
      <c r="W53" s="108"/>
      <c r="X53" s="108"/>
      <c r="Y53" s="108"/>
      <c r="Z53" s="108"/>
      <c r="AA53" s="430"/>
    </row>
    <row r="54" spans="1:27" ht="15" customHeight="1">
      <c r="A54" s="502"/>
      <c r="B54" s="502"/>
      <c r="C54" s="502"/>
      <c r="D54" s="502"/>
      <c r="E54" s="502"/>
      <c r="F54" s="502"/>
      <c r="G54" s="502"/>
      <c r="O54" s="410"/>
      <c r="P54" s="410"/>
      <c r="Q54" s="410"/>
      <c r="R54" s="410"/>
      <c r="S54" s="410"/>
      <c r="T54" s="430"/>
      <c r="U54" s="430"/>
      <c r="V54" s="430"/>
      <c r="W54" s="430"/>
      <c r="X54" s="430"/>
      <c r="Y54" s="430"/>
      <c r="Z54" s="430"/>
      <c r="AA54" s="108"/>
    </row>
    <row r="55" spans="1:27" ht="15" customHeight="1">
      <c r="G55" s="19"/>
      <c r="O55" s="410"/>
      <c r="P55" s="410"/>
      <c r="Q55" s="410"/>
      <c r="R55" s="410"/>
      <c r="S55" s="410"/>
      <c r="T55" s="430"/>
      <c r="U55" s="108"/>
      <c r="V55" s="430"/>
      <c r="W55" s="430"/>
      <c r="X55" s="430"/>
      <c r="Y55" s="430"/>
      <c r="Z55" s="430"/>
      <c r="AA55" s="430"/>
    </row>
    <row r="56" spans="1:27" ht="15" customHeight="1">
      <c r="O56" s="432"/>
      <c r="P56" s="431"/>
      <c r="Q56" s="431"/>
      <c r="R56" s="431"/>
      <c r="S56" s="410"/>
      <c r="T56" s="430"/>
      <c r="U56" s="430"/>
      <c r="V56" s="430"/>
      <c r="W56" s="430"/>
      <c r="X56" s="430"/>
      <c r="Y56" s="430"/>
      <c r="Z56" s="430"/>
      <c r="AA56" s="430"/>
    </row>
    <row r="57" spans="1:27" ht="15" customHeight="1">
      <c r="I57" s="502"/>
      <c r="J57" s="502"/>
      <c r="K57" s="502"/>
      <c r="L57" s="502"/>
      <c r="M57" s="502"/>
      <c r="O57" s="431"/>
      <c r="Q57" s="431"/>
      <c r="R57" s="431"/>
      <c r="S57" s="431"/>
      <c r="T57" s="410"/>
      <c r="U57" s="430"/>
      <c r="V57" s="430"/>
      <c r="W57" s="430"/>
      <c r="X57" s="430"/>
      <c r="Y57" s="430"/>
      <c r="Z57" s="430"/>
      <c r="AA57" s="430"/>
    </row>
    <row r="58" spans="1:27" ht="15" customHeight="1">
      <c r="I58" s="502"/>
      <c r="J58" s="502"/>
      <c r="K58" s="502"/>
      <c r="L58" s="502"/>
      <c r="M58" s="502"/>
      <c r="S58" s="431"/>
      <c r="T58" s="410"/>
      <c r="U58" s="430"/>
      <c r="V58" s="430"/>
      <c r="W58" s="430"/>
      <c r="X58" s="430"/>
      <c r="Y58" s="430"/>
      <c r="Z58" s="430"/>
      <c r="AA58" s="430"/>
    </row>
    <row r="59" spans="1:27" ht="15" customHeight="1">
      <c r="I59" s="502"/>
      <c r="J59" s="502"/>
      <c r="K59" s="502"/>
      <c r="L59" s="502"/>
      <c r="M59" s="502"/>
      <c r="T59" s="410"/>
      <c r="U59" s="430"/>
      <c r="V59" s="430"/>
      <c r="W59" s="430"/>
      <c r="X59" s="430"/>
      <c r="Y59" s="430"/>
      <c r="Z59" s="430"/>
      <c r="AA59" s="430"/>
    </row>
    <row r="60" spans="1:27" ht="15" customHeight="1">
      <c r="I60" s="19"/>
      <c r="J60" s="19"/>
      <c r="K60" s="19"/>
      <c r="L60" s="19"/>
      <c r="M60" s="19"/>
      <c r="T60" s="431"/>
      <c r="U60" s="430"/>
      <c r="V60" s="430"/>
      <c r="W60" s="430"/>
      <c r="X60" s="430"/>
      <c r="Y60" s="430"/>
      <c r="Z60" s="430"/>
      <c r="AA60" s="430"/>
    </row>
    <row r="61" spans="1:27" ht="15" customHeight="1">
      <c r="T61" s="431"/>
      <c r="U61" s="430"/>
      <c r="V61" s="430"/>
      <c r="W61" s="430"/>
      <c r="X61" s="430"/>
      <c r="Y61" s="430"/>
      <c r="Z61" s="430"/>
      <c r="AA61" s="430"/>
    </row>
    <row r="62" spans="1:27">
      <c r="U62" s="430"/>
      <c r="V62" s="410"/>
      <c r="W62" s="410"/>
      <c r="X62" s="410"/>
      <c r="Y62" s="410"/>
      <c r="Z62" s="410"/>
      <c r="AA62" s="430"/>
    </row>
    <row r="63" spans="1:27">
      <c r="U63" s="430"/>
      <c r="V63" s="410"/>
      <c r="W63" s="410"/>
      <c r="X63" s="410"/>
      <c r="Y63" s="410"/>
      <c r="Z63" s="410"/>
      <c r="AA63" s="410"/>
    </row>
    <row r="64" spans="1:27">
      <c r="U64" s="410"/>
      <c r="V64" s="410"/>
      <c r="W64" s="410"/>
      <c r="X64" s="410"/>
      <c r="Y64" s="410"/>
      <c r="Z64" s="410"/>
      <c r="AA64" s="410"/>
    </row>
    <row r="65" spans="8:31">
      <c r="U65" s="410"/>
      <c r="V65" s="431"/>
      <c r="W65" s="431"/>
      <c r="X65" s="431"/>
      <c r="Y65" s="431"/>
      <c r="Z65" s="431"/>
      <c r="AA65" s="410"/>
    </row>
    <row r="66" spans="8:31">
      <c r="U66" s="410"/>
      <c r="V66" s="410"/>
      <c r="W66" s="410"/>
      <c r="X66" s="410"/>
      <c r="Y66" s="410"/>
      <c r="Z66" s="431"/>
      <c r="AA66" s="431"/>
      <c r="AB66" s="431"/>
      <c r="AC66" s="431"/>
      <c r="AD66" s="431"/>
      <c r="AE66" s="431"/>
    </row>
    <row r="67" spans="8:31">
      <c r="U67" s="431"/>
      <c r="V67" s="431"/>
      <c r="W67" s="431"/>
      <c r="X67" s="431"/>
      <c r="Y67" s="431"/>
      <c r="AE67" s="431"/>
    </row>
    <row r="68" spans="8:31">
      <c r="U68" s="431"/>
      <c r="V68" s="431"/>
      <c r="W68" s="431"/>
      <c r="X68" s="431"/>
      <c r="Y68" s="431"/>
    </row>
    <row r="70" spans="8:31">
      <c r="H70" s="502"/>
    </row>
    <row r="71" spans="8:31">
      <c r="H71" s="502"/>
    </row>
    <row r="72" spans="8:31">
      <c r="H72" s="502"/>
    </row>
    <row r="73" spans="8:31">
      <c r="H73" s="19"/>
    </row>
  </sheetData>
  <sheetProtection formatColumns="0" formatRows="0" selectLockedCells="1"/>
  <mergeCells count="71">
    <mergeCell ref="I33:M33"/>
    <mergeCell ref="I32:M32"/>
    <mergeCell ref="A29:C29"/>
    <mergeCell ref="D29:G29"/>
    <mergeCell ref="A16:E19"/>
    <mergeCell ref="F16:G19"/>
    <mergeCell ref="A20:E23"/>
    <mergeCell ref="F20:G23"/>
    <mergeCell ref="D30:G30"/>
    <mergeCell ref="A30:C30"/>
    <mergeCell ref="I24:K24"/>
    <mergeCell ref="I25:K25"/>
    <mergeCell ref="I18:K18"/>
    <mergeCell ref="I17:K17"/>
    <mergeCell ref="I16:K16"/>
    <mergeCell ref="I30:L30"/>
    <mergeCell ref="O13:S16"/>
    <mergeCell ref="I15:K15"/>
    <mergeCell ref="I14:K14"/>
    <mergeCell ref="O18:O22"/>
    <mergeCell ref="P18:R22"/>
    <mergeCell ref="S18:S22"/>
    <mergeCell ref="O17:S17"/>
    <mergeCell ref="I34:M34"/>
    <mergeCell ref="I35:M35"/>
    <mergeCell ref="A1:T2"/>
    <mergeCell ref="I23:K23"/>
    <mergeCell ref="I22:K22"/>
    <mergeCell ref="I19:K19"/>
    <mergeCell ref="I20:K20"/>
    <mergeCell ref="I21:K21"/>
    <mergeCell ref="I12:K12"/>
    <mergeCell ref="I13:K13"/>
    <mergeCell ref="C3:G3"/>
    <mergeCell ref="A3:B3"/>
    <mergeCell ref="I9:K9"/>
    <mergeCell ref="A26:A28"/>
    <mergeCell ref="B26:D26"/>
    <mergeCell ref="E26:G26"/>
    <mergeCell ref="I28:K28"/>
    <mergeCell ref="I29:L29"/>
    <mergeCell ref="I26:K26"/>
    <mergeCell ref="I27:K27"/>
    <mergeCell ref="S23:S25"/>
    <mergeCell ref="O23:O25"/>
    <mergeCell ref="Q23:Q25"/>
    <mergeCell ref="P23:P25"/>
    <mergeCell ref="R23:R25"/>
    <mergeCell ref="A5:B5"/>
    <mergeCell ref="C5:G5"/>
    <mergeCell ref="A6:B6"/>
    <mergeCell ref="C6:G6"/>
    <mergeCell ref="I3:M5"/>
    <mergeCell ref="I6:M6"/>
    <mergeCell ref="A4:B4"/>
    <mergeCell ref="C4:G4"/>
    <mergeCell ref="O12:S12"/>
    <mergeCell ref="O3:S7"/>
    <mergeCell ref="R8:S9"/>
    <mergeCell ref="R10:S11"/>
    <mergeCell ref="O10:Q11"/>
    <mergeCell ref="O8:Q9"/>
    <mergeCell ref="A14:G15"/>
    <mergeCell ref="I7:K7"/>
    <mergeCell ref="I8:K8"/>
    <mergeCell ref="I10:K10"/>
    <mergeCell ref="I11:K11"/>
    <mergeCell ref="A9:E12"/>
    <mergeCell ref="F9:G12"/>
    <mergeCell ref="A7:B7"/>
    <mergeCell ref="C7:G7"/>
  </mergeCells>
  <dataValidations count="4">
    <dataValidation type="list" allowBlank="1" showInputMessage="1" showErrorMessage="1" sqref="F20 F16">
      <formula1>"Ja,Nein"</formula1>
    </dataValidation>
    <dataValidation type="list" allowBlank="1" showInputMessage="1" showErrorMessage="1" sqref="E28 B28">
      <formula1>"1,2,3,4,5,6,7,8,9,10,11,12,13,14,15,16,17,18,19,20,21,22,23,24,25,26,27,28,29,30,31"</formula1>
    </dataValidation>
    <dataValidation type="list" allowBlank="1" showInputMessage="1" showErrorMessage="1" sqref="F28 C28">
      <formula1>"1,2,3,4,5,6,7,8,9,10,11,12"</formula1>
    </dataValidation>
    <dataValidation type="list" allowBlank="1" showInputMessage="1" showErrorMessage="1" sqref="I8:K28">
      <formula1>Tierkategorie</formula1>
    </dataValidation>
  </dataValidations>
  <hyperlinks>
    <hyperlink ref="C7" r:id="rId1"/>
  </hyperlinks>
  <pageMargins left="0.7" right="0.7" top="0.78740157499999996" bottom="0.78740157499999996" header="0.3" footer="0.3"/>
  <pageSetup paperSize="9" orientation="landscape"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tabColor theme="0"/>
    <pageSetUpPr fitToPage="1"/>
  </sheetPr>
  <dimension ref="A1:W146"/>
  <sheetViews>
    <sheetView zoomScale="90" zoomScaleNormal="90" workbookViewId="0">
      <selection activeCell="F57" sqref="F57"/>
    </sheetView>
  </sheetViews>
  <sheetFormatPr baseColWidth="10" defaultRowHeight="15"/>
  <cols>
    <col min="1" max="1" width="5.140625" customWidth="1"/>
    <col min="2" max="2" width="44.28515625" customWidth="1"/>
    <col min="3" max="3" width="11.42578125" style="552"/>
    <col min="4" max="4" width="11.42578125" style="131"/>
    <col min="6" max="6" width="13.7109375" customWidth="1"/>
    <col min="14" max="14" width="64.28515625" customWidth="1"/>
    <col min="18" max="18" width="14.140625" customWidth="1"/>
    <col min="21" max="21" width="8.5703125" customWidth="1"/>
    <col min="22" max="22" width="7.42578125" customWidth="1"/>
    <col min="23" max="23" width="8.140625" customWidth="1"/>
    <col min="24" max="24" width="6.140625" bestFit="1" customWidth="1"/>
    <col min="25" max="25" width="5" bestFit="1" customWidth="1"/>
  </cols>
  <sheetData>
    <row r="1" spans="1:23" ht="18" customHeight="1">
      <c r="A1" s="33"/>
      <c r="B1" s="1220" t="s">
        <v>329</v>
      </c>
      <c r="C1" s="1220"/>
      <c r="D1" s="1220"/>
      <c r="E1" s="1220"/>
      <c r="F1" s="1220"/>
      <c r="K1" s="282"/>
      <c r="L1" s="282"/>
      <c r="M1" s="282"/>
      <c r="N1" s="282"/>
    </row>
    <row r="2" spans="1:23" ht="15.75">
      <c r="A2" s="33"/>
      <c r="B2" s="1220"/>
      <c r="C2" s="1220"/>
      <c r="D2" s="1220"/>
      <c r="E2" s="1220"/>
      <c r="F2" s="1220"/>
      <c r="K2" s="282"/>
      <c r="L2" s="282"/>
      <c r="M2" s="282"/>
      <c r="N2" s="282"/>
    </row>
    <row r="3" spans="1:23" ht="15.75">
      <c r="A3" s="33"/>
      <c r="B3" s="39"/>
      <c r="C3" s="392"/>
      <c r="D3" s="680"/>
      <c r="E3" s="33"/>
      <c r="F3" s="33"/>
      <c r="G3" s="33"/>
      <c r="H3" s="282"/>
      <c r="I3" s="282"/>
      <c r="J3" s="282"/>
      <c r="K3" s="25"/>
      <c r="L3" s="25"/>
      <c r="M3" s="25"/>
      <c r="N3" s="25"/>
    </row>
    <row r="4" spans="1:23" ht="15.75">
      <c r="A4" s="33"/>
      <c r="B4" s="89" t="s">
        <v>750</v>
      </c>
      <c r="C4" s="392"/>
      <c r="D4" s="680"/>
      <c r="E4" s="33"/>
      <c r="F4" s="1309" t="s">
        <v>332</v>
      </c>
      <c r="G4" s="1309"/>
      <c r="H4" s="1309"/>
      <c r="I4" s="1309"/>
      <c r="J4" s="1309"/>
      <c r="K4" s="1309"/>
      <c r="L4" s="116"/>
      <c r="M4" s="116"/>
      <c r="N4" s="89" t="s">
        <v>92</v>
      </c>
      <c r="O4" s="392"/>
      <c r="P4" s="392"/>
      <c r="Q4" s="392"/>
      <c r="R4" s="1309" t="s">
        <v>332</v>
      </c>
      <c r="S4" s="1309"/>
      <c r="T4" s="1309"/>
      <c r="U4" s="1309"/>
      <c r="V4" s="1309"/>
      <c r="W4" s="1309"/>
    </row>
    <row r="5" spans="1:23" s="135" customFormat="1" ht="15.75">
      <c r="A5" s="325"/>
      <c r="C5" s="557"/>
      <c r="D5" s="681"/>
      <c r="F5" s="1309" t="s">
        <v>935</v>
      </c>
      <c r="G5" s="1309"/>
      <c r="H5" s="1309"/>
      <c r="I5" s="1309" t="s">
        <v>936</v>
      </c>
      <c r="J5" s="1309"/>
      <c r="K5" s="1309"/>
      <c r="L5" s="116"/>
      <c r="M5" s="116"/>
      <c r="O5" s="513"/>
      <c r="R5" s="1309" t="s">
        <v>935</v>
      </c>
      <c r="S5" s="1309"/>
      <c r="T5" s="1309"/>
      <c r="U5" s="1309" t="s">
        <v>936</v>
      </c>
      <c r="V5" s="1309"/>
      <c r="W5" s="1309"/>
    </row>
    <row r="6" spans="1:23" ht="18.75">
      <c r="A6" s="33" t="s">
        <v>330</v>
      </c>
      <c r="B6" s="81" t="s">
        <v>127</v>
      </c>
      <c r="C6" s="556" t="s">
        <v>327</v>
      </c>
      <c r="D6" s="73" t="s">
        <v>48</v>
      </c>
      <c r="E6" s="81" t="s">
        <v>102</v>
      </c>
      <c r="F6" s="81" t="s">
        <v>16</v>
      </c>
      <c r="G6" s="81" t="s">
        <v>36</v>
      </c>
      <c r="H6" s="81" t="s">
        <v>37</v>
      </c>
      <c r="I6" s="276" t="s">
        <v>16</v>
      </c>
      <c r="J6" s="276" t="s">
        <v>36</v>
      </c>
      <c r="K6" s="276" t="s">
        <v>37</v>
      </c>
      <c r="L6" s="264"/>
      <c r="M6" s="264"/>
      <c r="N6" s="511" t="s">
        <v>127</v>
      </c>
      <c r="O6" s="511" t="s">
        <v>327</v>
      </c>
      <c r="P6" s="511" t="s">
        <v>48</v>
      </c>
      <c r="Q6" s="511" t="s">
        <v>102</v>
      </c>
      <c r="R6" s="511" t="s">
        <v>16</v>
      </c>
      <c r="S6" s="511" t="s">
        <v>36</v>
      </c>
      <c r="T6" s="511" t="s">
        <v>37</v>
      </c>
      <c r="U6" s="511" t="s">
        <v>16</v>
      </c>
      <c r="V6" s="511" t="s">
        <v>36</v>
      </c>
      <c r="W6" s="511" t="s">
        <v>37</v>
      </c>
    </row>
    <row r="7" spans="1:23" ht="15.75">
      <c r="A7" s="33">
        <v>1</v>
      </c>
      <c r="B7" s="47" t="s">
        <v>163</v>
      </c>
      <c r="C7" s="560">
        <v>0</v>
      </c>
      <c r="D7" s="666">
        <v>0</v>
      </c>
      <c r="E7" s="83">
        <v>0</v>
      </c>
      <c r="F7" s="83">
        <v>0</v>
      </c>
      <c r="G7" s="83">
        <v>0</v>
      </c>
      <c r="H7" s="83">
        <v>0</v>
      </c>
      <c r="I7" s="278">
        <v>0</v>
      </c>
      <c r="J7" s="278">
        <v>0</v>
      </c>
      <c r="K7" s="278">
        <v>0</v>
      </c>
      <c r="L7" s="264"/>
      <c r="M7" s="264"/>
      <c r="N7" s="693" t="s">
        <v>163</v>
      </c>
      <c r="O7" s="694">
        <v>0</v>
      </c>
      <c r="P7" s="699">
        <v>0</v>
      </c>
      <c r="Q7" s="694">
        <v>0</v>
      </c>
      <c r="R7" s="694">
        <v>0</v>
      </c>
      <c r="S7" s="694">
        <v>0</v>
      </c>
      <c r="T7" s="694">
        <v>0</v>
      </c>
      <c r="U7" s="694">
        <v>0</v>
      </c>
      <c r="V7" s="694">
        <v>0</v>
      </c>
      <c r="W7" s="694">
        <v>0</v>
      </c>
    </row>
    <row r="8" spans="1:23" ht="15.75">
      <c r="A8" s="297">
        <v>1</v>
      </c>
      <c r="B8" s="47" t="s">
        <v>921</v>
      </c>
      <c r="C8" s="560" t="s">
        <v>1088</v>
      </c>
      <c r="D8" s="666">
        <v>65</v>
      </c>
      <c r="F8" s="23">
        <v>15.6</v>
      </c>
      <c r="G8" s="23">
        <v>1.95</v>
      </c>
      <c r="H8" s="23">
        <v>8</v>
      </c>
      <c r="I8" s="23">
        <f>F8/10</f>
        <v>1.56</v>
      </c>
      <c r="J8" s="23">
        <f t="shared" ref="J8:K8" si="0">G8/10</f>
        <v>0.19500000000000001</v>
      </c>
      <c r="K8" s="23">
        <f t="shared" si="0"/>
        <v>0.8</v>
      </c>
      <c r="L8" s="264"/>
      <c r="M8" s="264"/>
      <c r="N8" s="693" t="s">
        <v>921</v>
      </c>
      <c r="O8" s="694" t="s">
        <v>1088</v>
      </c>
      <c r="P8" s="699">
        <v>65</v>
      </c>
      <c r="R8" s="23">
        <v>15.6</v>
      </c>
      <c r="S8" s="23">
        <v>1.95</v>
      </c>
      <c r="T8" s="23">
        <v>8</v>
      </c>
      <c r="U8" s="23">
        <f>R8/10</f>
        <v>1.56</v>
      </c>
      <c r="V8" s="23">
        <f t="shared" ref="V8:V53" si="1">S8/10</f>
        <v>0.19500000000000001</v>
      </c>
      <c r="W8" s="23">
        <f t="shared" ref="W8:W53" si="2">T8/10</f>
        <v>0.8</v>
      </c>
    </row>
    <row r="9" spans="1:23" ht="15.75">
      <c r="A9" s="297">
        <v>1</v>
      </c>
      <c r="B9" s="47" t="s">
        <v>922</v>
      </c>
      <c r="C9" s="694" t="s">
        <v>1088</v>
      </c>
      <c r="D9" s="666">
        <v>22</v>
      </c>
      <c r="E9" s="21">
        <v>1.3</v>
      </c>
      <c r="F9" s="23">
        <v>2.9260000000000002</v>
      </c>
      <c r="G9" s="23">
        <v>0.88</v>
      </c>
      <c r="H9" s="23">
        <v>1.86</v>
      </c>
      <c r="I9" s="23">
        <f t="shared" ref="I9:I53" si="3">F9/10</f>
        <v>0.29260000000000003</v>
      </c>
      <c r="J9" s="23">
        <f t="shared" ref="J9:J53" si="4">G9/10</f>
        <v>8.7999999999999995E-2</v>
      </c>
      <c r="K9" s="23">
        <f t="shared" ref="K9:K53" si="5">H9/10</f>
        <v>0.186</v>
      </c>
      <c r="L9" s="264"/>
      <c r="M9" s="264"/>
      <c r="N9" s="693" t="s">
        <v>922</v>
      </c>
      <c r="O9" s="694" t="s">
        <v>1088</v>
      </c>
      <c r="P9" s="699">
        <v>22</v>
      </c>
      <c r="Q9" s="690">
        <v>1.3</v>
      </c>
      <c r="R9" s="23">
        <v>2.9260000000000002</v>
      </c>
      <c r="S9" s="23">
        <v>0.88</v>
      </c>
      <c r="T9" s="23">
        <v>1.86</v>
      </c>
      <c r="U9" s="23">
        <f t="shared" ref="U9:U53" si="6">R9/10</f>
        <v>0.29260000000000003</v>
      </c>
      <c r="V9" s="23">
        <f t="shared" si="1"/>
        <v>8.7999999999999995E-2</v>
      </c>
      <c r="W9" s="23">
        <f t="shared" si="2"/>
        <v>0.186</v>
      </c>
    </row>
    <row r="10" spans="1:23" ht="15.75">
      <c r="A10" s="297">
        <v>1</v>
      </c>
      <c r="B10" s="47" t="s">
        <v>923</v>
      </c>
      <c r="C10" s="694" t="s">
        <v>1088</v>
      </c>
      <c r="D10" s="666">
        <v>10</v>
      </c>
      <c r="E10" s="21">
        <v>5.2</v>
      </c>
      <c r="F10" s="23">
        <v>8.4</v>
      </c>
      <c r="G10" s="23">
        <v>2.6</v>
      </c>
      <c r="H10" s="23">
        <v>2.41</v>
      </c>
      <c r="I10" s="23">
        <f t="shared" si="3"/>
        <v>0.84000000000000008</v>
      </c>
      <c r="J10" s="23">
        <f t="shared" si="4"/>
        <v>0.26</v>
      </c>
      <c r="K10" s="23">
        <f t="shared" si="5"/>
        <v>0.24100000000000002</v>
      </c>
      <c r="L10" s="264"/>
      <c r="M10" s="264"/>
      <c r="N10" s="693" t="s">
        <v>923</v>
      </c>
      <c r="O10" s="694" t="s">
        <v>1088</v>
      </c>
      <c r="P10" s="699">
        <v>10</v>
      </c>
      <c r="Q10" s="690">
        <v>5.2</v>
      </c>
      <c r="R10" s="23">
        <v>8.4</v>
      </c>
      <c r="S10" s="23">
        <v>2.6</v>
      </c>
      <c r="T10" s="23">
        <v>2.41</v>
      </c>
      <c r="U10" s="23">
        <f t="shared" si="6"/>
        <v>0.84000000000000008</v>
      </c>
      <c r="V10" s="23">
        <f t="shared" si="1"/>
        <v>0.26</v>
      </c>
      <c r="W10" s="23">
        <f t="shared" si="2"/>
        <v>0.24100000000000002</v>
      </c>
    </row>
    <row r="11" spans="1:23" ht="15.75">
      <c r="A11" s="297">
        <v>1</v>
      </c>
      <c r="B11" s="47" t="s">
        <v>924</v>
      </c>
      <c r="C11" s="694" t="s">
        <v>1088</v>
      </c>
      <c r="D11" s="666">
        <v>25</v>
      </c>
      <c r="E11" s="21">
        <v>4.8</v>
      </c>
      <c r="F11" s="23">
        <v>10</v>
      </c>
      <c r="G11" s="23">
        <v>3.43</v>
      </c>
      <c r="H11" s="23">
        <v>0.6</v>
      </c>
      <c r="I11" s="23">
        <f t="shared" si="3"/>
        <v>1</v>
      </c>
      <c r="J11" s="23">
        <f t="shared" si="4"/>
        <v>0.34300000000000003</v>
      </c>
      <c r="K11" s="23">
        <f t="shared" si="5"/>
        <v>0.06</v>
      </c>
      <c r="L11" s="289"/>
      <c r="M11" s="289"/>
      <c r="N11" s="693" t="s">
        <v>924</v>
      </c>
      <c r="O11" s="694" t="s">
        <v>1088</v>
      </c>
      <c r="P11" s="699">
        <v>25</v>
      </c>
      <c r="Q11" s="690">
        <v>4.8</v>
      </c>
      <c r="R11" s="23">
        <v>10</v>
      </c>
      <c r="S11" s="23">
        <v>3.43</v>
      </c>
      <c r="T11" s="23">
        <v>0.6</v>
      </c>
      <c r="U11" s="23">
        <f t="shared" si="6"/>
        <v>1</v>
      </c>
      <c r="V11" s="23">
        <f t="shared" si="1"/>
        <v>0.34300000000000003</v>
      </c>
      <c r="W11" s="23">
        <f t="shared" si="2"/>
        <v>0.06</v>
      </c>
    </row>
    <row r="12" spans="1:23" ht="15.75">
      <c r="A12" s="297">
        <v>1</v>
      </c>
      <c r="B12" s="47" t="s">
        <v>937</v>
      </c>
      <c r="C12" s="694" t="s">
        <v>1088</v>
      </c>
      <c r="D12" s="666">
        <v>60</v>
      </c>
      <c r="E12" s="21" t="s">
        <v>9</v>
      </c>
      <c r="F12" s="23">
        <v>10.1</v>
      </c>
      <c r="G12" s="23">
        <v>4.0999999999999996</v>
      </c>
      <c r="H12" s="23">
        <v>3.6</v>
      </c>
      <c r="I12" s="23">
        <f t="shared" si="3"/>
        <v>1.01</v>
      </c>
      <c r="J12" s="23">
        <f t="shared" si="4"/>
        <v>0.41</v>
      </c>
      <c r="K12" s="23">
        <f t="shared" si="5"/>
        <v>0.36</v>
      </c>
      <c r="L12" s="264"/>
      <c r="M12" s="264"/>
      <c r="N12" s="693" t="s">
        <v>937</v>
      </c>
      <c r="O12" s="694" t="s">
        <v>1088</v>
      </c>
      <c r="P12" s="699">
        <v>60</v>
      </c>
      <c r="Q12" s="690" t="s">
        <v>9</v>
      </c>
      <c r="R12" s="23">
        <v>10.1</v>
      </c>
      <c r="S12" s="23">
        <v>4.0999999999999996</v>
      </c>
      <c r="T12" s="23">
        <v>3.6</v>
      </c>
      <c r="U12" s="23">
        <f t="shared" si="6"/>
        <v>1.01</v>
      </c>
      <c r="V12" s="23">
        <f t="shared" si="1"/>
        <v>0.41</v>
      </c>
      <c r="W12" s="23">
        <f t="shared" si="2"/>
        <v>0.36</v>
      </c>
    </row>
    <row r="13" spans="1:23" ht="15.75">
      <c r="A13" s="297">
        <v>1</v>
      </c>
      <c r="B13" s="47" t="s">
        <v>925</v>
      </c>
      <c r="C13" s="694" t="s">
        <v>1088</v>
      </c>
      <c r="D13" s="666">
        <v>91</v>
      </c>
      <c r="E13" s="12"/>
      <c r="F13" s="23">
        <v>91.73</v>
      </c>
      <c r="G13" s="23">
        <v>68.8</v>
      </c>
      <c r="H13" s="23">
        <v>11</v>
      </c>
      <c r="I13" s="23">
        <f t="shared" si="3"/>
        <v>9.173</v>
      </c>
      <c r="J13" s="23">
        <f t="shared" si="4"/>
        <v>6.88</v>
      </c>
      <c r="K13" s="23">
        <f t="shared" si="5"/>
        <v>1.1000000000000001</v>
      </c>
      <c r="L13" s="289"/>
      <c r="M13" s="289"/>
      <c r="N13" s="693" t="s">
        <v>925</v>
      </c>
      <c r="O13" s="694" t="s">
        <v>1088</v>
      </c>
      <c r="P13" s="699">
        <v>91</v>
      </c>
      <c r="Q13" s="12"/>
      <c r="R13" s="23">
        <v>91.73</v>
      </c>
      <c r="S13" s="23">
        <v>68.8</v>
      </c>
      <c r="T13" s="23">
        <v>11</v>
      </c>
      <c r="U13" s="23">
        <f t="shared" si="6"/>
        <v>9.173</v>
      </c>
      <c r="V13" s="23">
        <f t="shared" si="1"/>
        <v>6.88</v>
      </c>
      <c r="W13" s="23">
        <f t="shared" si="2"/>
        <v>1.1000000000000001</v>
      </c>
    </row>
    <row r="14" spans="1:23" ht="15.75">
      <c r="A14" s="297">
        <v>1</v>
      </c>
      <c r="B14" s="47" t="s">
        <v>926</v>
      </c>
      <c r="C14" s="694" t="s">
        <v>1088</v>
      </c>
      <c r="D14" s="666">
        <v>92</v>
      </c>
      <c r="E14" s="12"/>
      <c r="F14" s="23">
        <v>56.21</v>
      </c>
      <c r="G14" s="23">
        <v>18.95</v>
      </c>
      <c r="H14" s="23">
        <v>14.72</v>
      </c>
      <c r="I14" s="23">
        <f t="shared" si="3"/>
        <v>5.6210000000000004</v>
      </c>
      <c r="J14" s="23">
        <f t="shared" si="4"/>
        <v>1.895</v>
      </c>
      <c r="K14" s="23">
        <f t="shared" si="5"/>
        <v>1.472</v>
      </c>
      <c r="L14" s="264"/>
      <c r="M14" s="264"/>
      <c r="N14" s="693" t="s">
        <v>926</v>
      </c>
      <c r="O14" s="694" t="s">
        <v>1088</v>
      </c>
      <c r="P14" s="699">
        <v>92</v>
      </c>
      <c r="Q14" s="12"/>
      <c r="R14" s="23">
        <v>56.21</v>
      </c>
      <c r="S14" s="23">
        <v>18.95</v>
      </c>
      <c r="T14" s="23">
        <v>14.72</v>
      </c>
      <c r="U14" s="23">
        <f t="shared" si="6"/>
        <v>5.6210000000000004</v>
      </c>
      <c r="V14" s="23">
        <f t="shared" si="1"/>
        <v>1.895</v>
      </c>
      <c r="W14" s="23">
        <f t="shared" si="2"/>
        <v>1.472</v>
      </c>
    </row>
    <row r="15" spans="1:23" ht="15.75">
      <c r="A15" s="297">
        <v>1</v>
      </c>
      <c r="B15" s="47" t="s">
        <v>927</v>
      </c>
      <c r="C15" s="694" t="s">
        <v>1088</v>
      </c>
      <c r="D15" s="666">
        <v>90</v>
      </c>
      <c r="E15" s="12"/>
      <c r="F15" s="23">
        <v>10.08</v>
      </c>
      <c r="G15" s="23">
        <v>3.51</v>
      </c>
      <c r="H15" s="23">
        <v>8.8000000000000007</v>
      </c>
      <c r="I15" s="23">
        <f t="shared" si="3"/>
        <v>1.008</v>
      </c>
      <c r="J15" s="23">
        <f t="shared" si="4"/>
        <v>0.35099999999999998</v>
      </c>
      <c r="K15" s="23">
        <f t="shared" si="5"/>
        <v>0.88000000000000012</v>
      </c>
      <c r="L15" s="289"/>
      <c r="M15" s="289"/>
      <c r="N15" s="693" t="s">
        <v>927</v>
      </c>
      <c r="O15" s="694" t="s">
        <v>1088</v>
      </c>
      <c r="P15" s="699">
        <v>90</v>
      </c>
      <c r="Q15" s="12"/>
      <c r="R15" s="23">
        <v>10.08</v>
      </c>
      <c r="S15" s="23">
        <v>3.51</v>
      </c>
      <c r="T15" s="23">
        <v>8.8000000000000007</v>
      </c>
      <c r="U15" s="23">
        <f t="shared" si="6"/>
        <v>1.008</v>
      </c>
      <c r="V15" s="23">
        <f t="shared" si="1"/>
        <v>0.35099999999999998</v>
      </c>
      <c r="W15" s="23">
        <f t="shared" si="2"/>
        <v>0.88000000000000012</v>
      </c>
    </row>
    <row r="16" spans="1:23" ht="15.75">
      <c r="A16" s="297">
        <v>1</v>
      </c>
      <c r="B16" s="47" t="s">
        <v>928</v>
      </c>
      <c r="C16" s="694" t="s">
        <v>1088</v>
      </c>
      <c r="D16" s="666">
        <v>18</v>
      </c>
      <c r="E16" s="21">
        <v>1</v>
      </c>
      <c r="F16" s="23">
        <v>1.4</v>
      </c>
      <c r="G16" s="23">
        <v>1.1499999999999999</v>
      </c>
      <c r="H16" s="23">
        <v>4.5999999999999996</v>
      </c>
      <c r="I16" s="23">
        <f t="shared" si="3"/>
        <v>0.13999999999999999</v>
      </c>
      <c r="J16" s="23">
        <f t="shared" si="4"/>
        <v>0.11499999999999999</v>
      </c>
      <c r="K16" s="23">
        <f t="shared" si="5"/>
        <v>0.45999999999999996</v>
      </c>
      <c r="L16" s="264"/>
      <c r="M16" s="264"/>
      <c r="N16" s="693" t="s">
        <v>928</v>
      </c>
      <c r="O16" s="694" t="s">
        <v>1088</v>
      </c>
      <c r="P16" s="699">
        <v>18</v>
      </c>
      <c r="Q16" s="690">
        <v>1</v>
      </c>
      <c r="R16" s="23">
        <v>1.4</v>
      </c>
      <c r="S16" s="23">
        <v>1.1499999999999999</v>
      </c>
      <c r="T16" s="23">
        <v>4.5999999999999996</v>
      </c>
      <c r="U16" s="23">
        <f t="shared" si="6"/>
        <v>0.13999999999999999</v>
      </c>
      <c r="V16" s="23">
        <f t="shared" si="1"/>
        <v>0.11499999999999999</v>
      </c>
      <c r="W16" s="23">
        <f t="shared" si="2"/>
        <v>0.45999999999999996</v>
      </c>
    </row>
    <row r="17" spans="1:23" ht="15.75">
      <c r="A17" s="297">
        <v>1</v>
      </c>
      <c r="B17" s="47" t="s">
        <v>929</v>
      </c>
      <c r="C17" s="694" t="s">
        <v>1088</v>
      </c>
      <c r="D17" s="666">
        <v>5.5</v>
      </c>
      <c r="E17" s="296" t="s">
        <v>9</v>
      </c>
      <c r="F17" s="23">
        <v>2.9</v>
      </c>
      <c r="G17" s="23">
        <v>0.84</v>
      </c>
      <c r="H17" s="23">
        <v>3.63</v>
      </c>
      <c r="I17" s="23">
        <f t="shared" si="3"/>
        <v>0.28999999999999998</v>
      </c>
      <c r="J17" s="23">
        <f t="shared" si="4"/>
        <v>8.3999999999999991E-2</v>
      </c>
      <c r="K17" s="23">
        <f t="shared" si="5"/>
        <v>0.36299999999999999</v>
      </c>
      <c r="L17" s="290"/>
      <c r="M17" s="290"/>
      <c r="N17" s="693" t="s">
        <v>929</v>
      </c>
      <c r="O17" s="694" t="s">
        <v>1088</v>
      </c>
      <c r="P17" s="699">
        <v>5.5</v>
      </c>
      <c r="Q17" s="690" t="s">
        <v>9</v>
      </c>
      <c r="R17" s="23">
        <v>2.9</v>
      </c>
      <c r="S17" s="23">
        <v>0.84</v>
      </c>
      <c r="T17" s="23">
        <v>3.63</v>
      </c>
      <c r="U17" s="23">
        <f t="shared" si="6"/>
        <v>0.28999999999999998</v>
      </c>
      <c r="V17" s="23">
        <f t="shared" si="1"/>
        <v>8.3999999999999991E-2</v>
      </c>
      <c r="W17" s="23">
        <f t="shared" si="2"/>
        <v>0.36299999999999999</v>
      </c>
    </row>
    <row r="18" spans="1:23" ht="15.75">
      <c r="A18" s="297">
        <v>1</v>
      </c>
      <c r="B18" s="47" t="s">
        <v>930</v>
      </c>
      <c r="C18" s="694" t="s">
        <v>1088</v>
      </c>
      <c r="D18" s="666">
        <v>89</v>
      </c>
      <c r="E18" s="12"/>
      <c r="F18" s="23">
        <v>53.5</v>
      </c>
      <c r="G18" s="23">
        <v>19.579999999999998</v>
      </c>
      <c r="H18" s="23">
        <v>14</v>
      </c>
      <c r="I18" s="23">
        <f t="shared" si="3"/>
        <v>5.35</v>
      </c>
      <c r="J18" s="23">
        <f t="shared" si="4"/>
        <v>1.9579999999999997</v>
      </c>
      <c r="K18" s="23">
        <f t="shared" si="5"/>
        <v>1.4</v>
      </c>
      <c r="L18" s="264"/>
      <c r="M18" s="264"/>
      <c r="N18" s="693" t="s">
        <v>930</v>
      </c>
      <c r="O18" s="694" t="s">
        <v>1088</v>
      </c>
      <c r="P18" s="699">
        <v>89</v>
      </c>
      <c r="Q18" s="12"/>
      <c r="R18" s="23">
        <v>53.5</v>
      </c>
      <c r="S18" s="23">
        <v>19.579999999999998</v>
      </c>
      <c r="T18" s="23">
        <v>14</v>
      </c>
      <c r="U18" s="23">
        <f t="shared" si="6"/>
        <v>5.35</v>
      </c>
      <c r="V18" s="23">
        <f t="shared" si="1"/>
        <v>1.9579999999999997</v>
      </c>
      <c r="W18" s="23">
        <f t="shared" si="2"/>
        <v>1.4</v>
      </c>
    </row>
    <row r="19" spans="1:23" ht="15.75">
      <c r="A19" s="297">
        <v>1</v>
      </c>
      <c r="B19" s="47" t="s">
        <v>931</v>
      </c>
      <c r="C19" s="694" t="s">
        <v>1088</v>
      </c>
      <c r="D19" s="666">
        <v>90</v>
      </c>
      <c r="E19" s="21">
        <v>32.6</v>
      </c>
      <c r="F19" s="23">
        <v>53.3</v>
      </c>
      <c r="G19" s="23">
        <v>18.54</v>
      </c>
      <c r="H19" s="23">
        <v>12.5</v>
      </c>
      <c r="I19" s="23">
        <f t="shared" si="3"/>
        <v>5.33</v>
      </c>
      <c r="J19" s="23">
        <f t="shared" si="4"/>
        <v>1.8539999999999999</v>
      </c>
      <c r="K19" s="23">
        <f t="shared" si="5"/>
        <v>1.25</v>
      </c>
      <c r="L19" s="264"/>
      <c r="M19" s="264"/>
      <c r="N19" s="693" t="s">
        <v>931</v>
      </c>
      <c r="O19" s="694" t="s">
        <v>1088</v>
      </c>
      <c r="P19" s="699">
        <v>90</v>
      </c>
      <c r="Q19" s="690">
        <v>32.6</v>
      </c>
      <c r="R19" s="23">
        <v>53.3</v>
      </c>
      <c r="S19" s="23">
        <v>18.54</v>
      </c>
      <c r="T19" s="23">
        <v>12.5</v>
      </c>
      <c r="U19" s="23">
        <f t="shared" si="6"/>
        <v>5.33</v>
      </c>
      <c r="V19" s="23">
        <f t="shared" si="1"/>
        <v>1.8539999999999999</v>
      </c>
      <c r="W19" s="23">
        <f t="shared" si="2"/>
        <v>1.25</v>
      </c>
    </row>
    <row r="20" spans="1:23" ht="15.75">
      <c r="A20" s="297">
        <v>1</v>
      </c>
      <c r="B20" s="47" t="s">
        <v>932</v>
      </c>
      <c r="C20" s="694" t="s">
        <v>1088</v>
      </c>
      <c r="D20" s="666">
        <v>8.5</v>
      </c>
      <c r="E20" s="296"/>
      <c r="F20" s="23">
        <v>4.9000000000000004</v>
      </c>
      <c r="G20" s="23">
        <v>1.95</v>
      </c>
      <c r="H20" s="23">
        <v>5.61</v>
      </c>
      <c r="I20" s="23">
        <f t="shared" si="3"/>
        <v>0.49000000000000005</v>
      </c>
      <c r="J20" s="23">
        <f t="shared" si="4"/>
        <v>0.19500000000000001</v>
      </c>
      <c r="K20" s="23">
        <f t="shared" si="5"/>
        <v>0.56100000000000005</v>
      </c>
      <c r="L20" s="264"/>
      <c r="M20" s="264"/>
      <c r="N20" s="693" t="s">
        <v>932</v>
      </c>
      <c r="O20" s="694" t="s">
        <v>1088</v>
      </c>
      <c r="P20" s="699">
        <v>8.5</v>
      </c>
      <c r="Q20" s="690"/>
      <c r="R20" s="23">
        <v>4.9000000000000004</v>
      </c>
      <c r="S20" s="23">
        <v>1.95</v>
      </c>
      <c r="T20" s="23">
        <v>5.61</v>
      </c>
      <c r="U20" s="23">
        <f t="shared" si="6"/>
        <v>0.49000000000000005</v>
      </c>
      <c r="V20" s="23">
        <f t="shared" si="1"/>
        <v>0.19500000000000001</v>
      </c>
      <c r="W20" s="23">
        <f t="shared" si="2"/>
        <v>0.56100000000000005</v>
      </c>
    </row>
    <row r="21" spans="1:23" ht="15.75">
      <c r="A21" s="297">
        <v>1</v>
      </c>
      <c r="B21" s="47" t="s">
        <v>933</v>
      </c>
      <c r="C21" s="694" t="s">
        <v>1088</v>
      </c>
      <c r="D21" s="666">
        <v>90</v>
      </c>
      <c r="E21" s="21">
        <v>22</v>
      </c>
      <c r="F21" s="23">
        <v>36</v>
      </c>
      <c r="G21" s="23">
        <v>17.600000000000001</v>
      </c>
      <c r="H21" s="23">
        <v>15.2</v>
      </c>
      <c r="I21" s="23">
        <f t="shared" si="3"/>
        <v>3.6</v>
      </c>
      <c r="J21" s="23">
        <f t="shared" si="4"/>
        <v>1.7600000000000002</v>
      </c>
      <c r="K21" s="23">
        <f t="shared" si="5"/>
        <v>1.52</v>
      </c>
      <c r="L21" s="264"/>
      <c r="M21" s="264"/>
      <c r="N21" s="693" t="s">
        <v>933</v>
      </c>
      <c r="O21" s="694" t="s">
        <v>1088</v>
      </c>
      <c r="P21" s="699">
        <v>90</v>
      </c>
      <c r="Q21" s="690">
        <v>22</v>
      </c>
      <c r="R21" s="23">
        <v>36</v>
      </c>
      <c r="S21" s="23">
        <v>17.600000000000001</v>
      </c>
      <c r="T21" s="23">
        <v>15.2</v>
      </c>
      <c r="U21" s="23">
        <f t="shared" si="6"/>
        <v>3.6</v>
      </c>
      <c r="V21" s="23">
        <f t="shared" si="1"/>
        <v>1.7600000000000002</v>
      </c>
      <c r="W21" s="23">
        <f t="shared" si="2"/>
        <v>1.52</v>
      </c>
    </row>
    <row r="22" spans="1:23" ht="15.75">
      <c r="A22" s="297">
        <v>1</v>
      </c>
      <c r="B22" s="47" t="s">
        <v>934</v>
      </c>
      <c r="C22" s="694" t="s">
        <v>1088</v>
      </c>
      <c r="D22" s="666">
        <v>92</v>
      </c>
      <c r="E22" s="21">
        <v>25.8</v>
      </c>
      <c r="F22" s="23">
        <v>43.4</v>
      </c>
      <c r="G22" s="23">
        <v>16.8</v>
      </c>
      <c r="H22" s="23">
        <v>23.3</v>
      </c>
      <c r="I22" s="23">
        <f t="shared" si="3"/>
        <v>4.34</v>
      </c>
      <c r="J22" s="23">
        <f t="shared" si="4"/>
        <v>1.6800000000000002</v>
      </c>
      <c r="K22" s="23">
        <f t="shared" si="5"/>
        <v>2.33</v>
      </c>
      <c r="L22" s="264"/>
      <c r="M22" s="264"/>
      <c r="N22" s="693" t="s">
        <v>934</v>
      </c>
      <c r="O22" s="694" t="s">
        <v>1088</v>
      </c>
      <c r="P22" s="699">
        <v>92</v>
      </c>
      <c r="Q22" s="690">
        <v>25.8</v>
      </c>
      <c r="R22" s="23">
        <v>43.4</v>
      </c>
      <c r="S22" s="23">
        <v>16.8</v>
      </c>
      <c r="T22" s="23">
        <v>23.3</v>
      </c>
      <c r="U22" s="23">
        <f t="shared" si="6"/>
        <v>4.34</v>
      </c>
      <c r="V22" s="23">
        <f t="shared" si="1"/>
        <v>1.6800000000000002</v>
      </c>
      <c r="W22" s="23">
        <f t="shared" si="2"/>
        <v>2.33</v>
      </c>
    </row>
    <row r="23" spans="1:23" ht="15.75">
      <c r="A23" s="297">
        <v>1</v>
      </c>
      <c r="B23" s="47" t="s">
        <v>938</v>
      </c>
      <c r="C23" s="694" t="s">
        <v>1088</v>
      </c>
      <c r="D23" s="666">
        <v>88</v>
      </c>
      <c r="F23" s="23">
        <v>3.8</v>
      </c>
      <c r="G23" s="23">
        <v>2</v>
      </c>
      <c r="H23" s="23">
        <v>1.86</v>
      </c>
      <c r="I23" s="23">
        <f t="shared" si="3"/>
        <v>0.38</v>
      </c>
      <c r="J23" s="23">
        <f t="shared" si="4"/>
        <v>0.2</v>
      </c>
      <c r="K23" s="23">
        <f t="shared" si="5"/>
        <v>0.186</v>
      </c>
      <c r="L23" s="264"/>
      <c r="M23" s="264"/>
      <c r="N23" s="693" t="s">
        <v>938</v>
      </c>
      <c r="O23" s="694" t="s">
        <v>1088</v>
      </c>
      <c r="P23" s="699">
        <v>88</v>
      </c>
      <c r="R23" s="23">
        <v>3.8</v>
      </c>
      <c r="S23" s="23">
        <v>2</v>
      </c>
      <c r="T23" s="23">
        <v>1.86</v>
      </c>
      <c r="U23" s="23">
        <f t="shared" si="6"/>
        <v>0.38</v>
      </c>
      <c r="V23" s="23">
        <f t="shared" si="1"/>
        <v>0.2</v>
      </c>
      <c r="W23" s="23">
        <f t="shared" si="2"/>
        <v>0.186</v>
      </c>
    </row>
    <row r="24" spans="1:23" ht="15.75">
      <c r="A24" s="297">
        <v>1</v>
      </c>
      <c r="B24" s="47" t="s">
        <v>906</v>
      </c>
      <c r="C24" s="694" t="s">
        <v>1088</v>
      </c>
      <c r="D24" s="666">
        <v>91</v>
      </c>
      <c r="E24" s="21">
        <v>8.8000000000000007</v>
      </c>
      <c r="F24" s="23">
        <v>14.6</v>
      </c>
      <c r="G24" s="23">
        <v>1.64</v>
      </c>
      <c r="H24" s="23">
        <v>15.4</v>
      </c>
      <c r="I24" s="23">
        <f t="shared" si="3"/>
        <v>1.46</v>
      </c>
      <c r="J24" s="23">
        <f t="shared" si="4"/>
        <v>0.16399999999999998</v>
      </c>
      <c r="K24" s="23">
        <f t="shared" si="5"/>
        <v>1.54</v>
      </c>
      <c r="L24" s="264"/>
      <c r="M24" s="264"/>
      <c r="N24" s="693" t="s">
        <v>906</v>
      </c>
      <c r="O24" s="694" t="s">
        <v>1088</v>
      </c>
      <c r="P24" s="699">
        <v>91</v>
      </c>
      <c r="Q24" s="690">
        <v>8.8000000000000007</v>
      </c>
      <c r="R24" s="23">
        <v>14.6</v>
      </c>
      <c r="S24" s="23">
        <v>1.64</v>
      </c>
      <c r="T24" s="23">
        <v>15.4</v>
      </c>
      <c r="U24" s="23">
        <f t="shared" si="6"/>
        <v>1.46</v>
      </c>
      <c r="V24" s="23">
        <f t="shared" si="1"/>
        <v>0.16399999999999998</v>
      </c>
      <c r="W24" s="23">
        <f t="shared" si="2"/>
        <v>1.54</v>
      </c>
    </row>
    <row r="25" spans="1:23" ht="15.75">
      <c r="A25" s="297">
        <v>1</v>
      </c>
      <c r="B25" s="47" t="s">
        <v>939</v>
      </c>
      <c r="C25" s="694" t="s">
        <v>1088</v>
      </c>
      <c r="D25" s="666">
        <v>5</v>
      </c>
      <c r="E25" s="21">
        <v>0.1</v>
      </c>
      <c r="F25" s="23">
        <v>0.34</v>
      </c>
      <c r="G25" s="23">
        <v>1.54</v>
      </c>
      <c r="H25" s="23">
        <v>1.59</v>
      </c>
      <c r="I25" s="23">
        <f t="shared" si="3"/>
        <v>3.4000000000000002E-2</v>
      </c>
      <c r="J25" s="23">
        <f t="shared" si="4"/>
        <v>0.154</v>
      </c>
      <c r="K25" s="23">
        <f t="shared" si="5"/>
        <v>0.159</v>
      </c>
      <c r="L25" s="264"/>
      <c r="M25" s="264"/>
      <c r="N25" s="693" t="s">
        <v>939</v>
      </c>
      <c r="O25" s="694" t="s">
        <v>1088</v>
      </c>
      <c r="P25" s="699">
        <v>5</v>
      </c>
      <c r="Q25" s="690">
        <v>0.1</v>
      </c>
      <c r="R25" s="23">
        <v>0.34</v>
      </c>
      <c r="S25" s="23">
        <v>1.54</v>
      </c>
      <c r="T25" s="23">
        <v>1.59</v>
      </c>
      <c r="U25" s="23">
        <f t="shared" si="6"/>
        <v>3.4000000000000002E-2</v>
      </c>
      <c r="V25" s="23">
        <f t="shared" si="1"/>
        <v>0.154</v>
      </c>
      <c r="W25" s="23">
        <f t="shared" si="2"/>
        <v>0.159</v>
      </c>
    </row>
    <row r="26" spans="1:23" ht="15.75">
      <c r="A26" s="297">
        <v>1</v>
      </c>
      <c r="B26" s="47" t="s">
        <v>907</v>
      </c>
      <c r="C26" s="694" t="s">
        <v>1088</v>
      </c>
      <c r="D26" s="666">
        <v>27</v>
      </c>
      <c r="E26" s="21">
        <v>2.8</v>
      </c>
      <c r="F26" s="23">
        <v>3.7</v>
      </c>
      <c r="G26" s="23">
        <v>0.62</v>
      </c>
      <c r="H26" s="23">
        <v>0.94</v>
      </c>
      <c r="I26" s="23">
        <f t="shared" si="3"/>
        <v>0.37</v>
      </c>
      <c r="J26" s="23">
        <f t="shared" si="4"/>
        <v>6.2E-2</v>
      </c>
      <c r="K26" s="23">
        <f t="shared" si="5"/>
        <v>9.4E-2</v>
      </c>
      <c r="L26" s="289"/>
      <c r="M26" s="289"/>
      <c r="N26" s="693" t="s">
        <v>907</v>
      </c>
      <c r="O26" s="694" t="s">
        <v>1088</v>
      </c>
      <c r="P26" s="699">
        <v>27</v>
      </c>
      <c r="Q26" s="690">
        <v>2.8</v>
      </c>
      <c r="R26" s="23">
        <v>3.7</v>
      </c>
      <c r="S26" s="23">
        <v>0.62</v>
      </c>
      <c r="T26" s="23">
        <v>0.94</v>
      </c>
      <c r="U26" s="23">
        <f t="shared" si="6"/>
        <v>0.37</v>
      </c>
      <c r="V26" s="23">
        <f t="shared" si="1"/>
        <v>6.2E-2</v>
      </c>
      <c r="W26" s="23">
        <f t="shared" si="2"/>
        <v>9.4E-2</v>
      </c>
    </row>
    <row r="27" spans="1:23" ht="15.75">
      <c r="A27" s="297">
        <v>1</v>
      </c>
      <c r="B27" s="47" t="s">
        <v>86</v>
      </c>
      <c r="C27" s="694" t="s">
        <v>1088</v>
      </c>
      <c r="D27" s="666">
        <v>89</v>
      </c>
      <c r="E27" s="21">
        <v>34.6</v>
      </c>
      <c r="F27" s="23">
        <v>54.3</v>
      </c>
      <c r="G27" s="23">
        <v>24.5</v>
      </c>
      <c r="H27" s="23">
        <v>13.7</v>
      </c>
      <c r="I27" s="23">
        <f t="shared" si="3"/>
        <v>5.43</v>
      </c>
      <c r="J27" s="23">
        <f t="shared" si="4"/>
        <v>2.4500000000000002</v>
      </c>
      <c r="K27" s="23">
        <f t="shared" si="5"/>
        <v>1.3699999999999999</v>
      </c>
      <c r="L27" s="264"/>
      <c r="M27" s="264"/>
      <c r="N27" s="693" t="s">
        <v>86</v>
      </c>
      <c r="O27" s="694" t="s">
        <v>1088</v>
      </c>
      <c r="P27" s="699">
        <v>89</v>
      </c>
      <c r="Q27" s="690">
        <v>34.6</v>
      </c>
      <c r="R27" s="23">
        <v>54.3</v>
      </c>
      <c r="S27" s="23">
        <v>24.5</v>
      </c>
      <c r="T27" s="23">
        <v>13.7</v>
      </c>
      <c r="U27" s="23">
        <f t="shared" si="6"/>
        <v>5.43</v>
      </c>
      <c r="V27" s="23">
        <f t="shared" si="1"/>
        <v>2.4500000000000002</v>
      </c>
      <c r="W27" s="23">
        <f t="shared" si="2"/>
        <v>1.3699999999999999</v>
      </c>
    </row>
    <row r="28" spans="1:23" ht="15.75">
      <c r="A28" s="297">
        <v>1</v>
      </c>
      <c r="B28" s="47" t="s">
        <v>940</v>
      </c>
      <c r="C28" s="694" t="s">
        <v>1088</v>
      </c>
      <c r="D28" s="666">
        <v>90</v>
      </c>
      <c r="E28" s="21">
        <v>31.2</v>
      </c>
      <c r="F28" s="23">
        <v>52.5</v>
      </c>
      <c r="G28" s="23">
        <v>24.8</v>
      </c>
      <c r="H28" s="23">
        <v>13.7</v>
      </c>
      <c r="I28" s="23">
        <f t="shared" si="3"/>
        <v>5.25</v>
      </c>
      <c r="J28" s="23">
        <f t="shared" si="4"/>
        <v>2.48</v>
      </c>
      <c r="K28" s="23">
        <f t="shared" si="5"/>
        <v>1.3699999999999999</v>
      </c>
      <c r="L28" s="264"/>
      <c r="M28" s="264"/>
      <c r="N28" s="693" t="s">
        <v>940</v>
      </c>
      <c r="O28" s="694" t="s">
        <v>1088</v>
      </c>
      <c r="P28" s="699">
        <v>90</v>
      </c>
      <c r="Q28" s="690">
        <v>31.2</v>
      </c>
      <c r="R28" s="23">
        <v>52.5</v>
      </c>
      <c r="S28" s="23">
        <v>24.8</v>
      </c>
      <c r="T28" s="23">
        <v>13.7</v>
      </c>
      <c r="U28" s="23">
        <f t="shared" si="6"/>
        <v>5.25</v>
      </c>
      <c r="V28" s="23">
        <f t="shared" si="1"/>
        <v>2.48</v>
      </c>
      <c r="W28" s="23">
        <f t="shared" si="2"/>
        <v>1.3699999999999999</v>
      </c>
    </row>
    <row r="29" spans="1:23" ht="15.75">
      <c r="A29" s="297">
        <v>1</v>
      </c>
      <c r="B29" s="47" t="s">
        <v>941</v>
      </c>
      <c r="C29" s="694" t="s">
        <v>1088</v>
      </c>
      <c r="D29" s="666">
        <v>88</v>
      </c>
      <c r="F29" s="23">
        <v>22.8</v>
      </c>
      <c r="G29" s="23">
        <v>22.4</v>
      </c>
      <c r="H29" s="23">
        <v>14</v>
      </c>
      <c r="I29" s="23">
        <f t="shared" si="3"/>
        <v>2.2800000000000002</v>
      </c>
      <c r="J29" s="23">
        <f t="shared" si="4"/>
        <v>2.2399999999999998</v>
      </c>
      <c r="K29" s="23">
        <f t="shared" si="5"/>
        <v>1.4</v>
      </c>
      <c r="L29" s="264"/>
      <c r="M29" s="264"/>
      <c r="N29" s="693" t="s">
        <v>941</v>
      </c>
      <c r="O29" s="694" t="s">
        <v>1088</v>
      </c>
      <c r="P29" s="699">
        <v>88</v>
      </c>
      <c r="R29" s="23">
        <v>22.8</v>
      </c>
      <c r="S29" s="23">
        <v>22.4</v>
      </c>
      <c r="T29" s="23">
        <v>14</v>
      </c>
      <c r="U29" s="23">
        <f t="shared" si="6"/>
        <v>2.2800000000000002</v>
      </c>
      <c r="V29" s="23">
        <f t="shared" si="1"/>
        <v>2.2399999999999998</v>
      </c>
      <c r="W29" s="23">
        <f t="shared" si="2"/>
        <v>1.4</v>
      </c>
    </row>
    <row r="30" spans="1:23" ht="15.75">
      <c r="A30" s="297">
        <v>1</v>
      </c>
      <c r="B30" s="47" t="s">
        <v>942</v>
      </c>
      <c r="C30" s="694" t="s">
        <v>1088</v>
      </c>
      <c r="D30" s="666">
        <v>17</v>
      </c>
      <c r="E30" s="21">
        <v>1.3</v>
      </c>
      <c r="F30" s="23">
        <v>2.04</v>
      </c>
      <c r="G30" s="23">
        <v>0.82</v>
      </c>
      <c r="H30" s="23">
        <v>2.1</v>
      </c>
      <c r="I30" s="23">
        <f t="shared" si="3"/>
        <v>0.20400000000000001</v>
      </c>
      <c r="J30" s="23">
        <f t="shared" si="4"/>
        <v>8.199999999999999E-2</v>
      </c>
      <c r="K30" s="23">
        <f t="shared" si="5"/>
        <v>0.21000000000000002</v>
      </c>
      <c r="L30" s="264"/>
      <c r="M30" s="264"/>
      <c r="N30" s="693" t="s">
        <v>942</v>
      </c>
      <c r="O30" s="694" t="s">
        <v>1088</v>
      </c>
      <c r="P30" s="699">
        <v>17</v>
      </c>
      <c r="Q30" s="690">
        <v>1.3</v>
      </c>
      <c r="R30" s="23">
        <v>2.04</v>
      </c>
      <c r="S30" s="23">
        <v>0.82</v>
      </c>
      <c r="T30" s="23">
        <v>2.1</v>
      </c>
      <c r="U30" s="23">
        <f t="shared" si="6"/>
        <v>0.20400000000000001</v>
      </c>
      <c r="V30" s="23">
        <f t="shared" si="1"/>
        <v>8.199999999999999E-2</v>
      </c>
      <c r="W30" s="23">
        <f t="shared" si="2"/>
        <v>0.21000000000000002</v>
      </c>
    </row>
    <row r="31" spans="1:23" ht="15.75">
      <c r="A31" s="297">
        <v>1</v>
      </c>
      <c r="B31" s="47" t="s">
        <v>943</v>
      </c>
      <c r="C31" s="694" t="s">
        <v>1088</v>
      </c>
      <c r="D31" s="666">
        <v>88</v>
      </c>
      <c r="E31" s="21">
        <v>48</v>
      </c>
      <c r="F31" s="23">
        <v>76.7</v>
      </c>
      <c r="G31" s="23">
        <v>15.1</v>
      </c>
      <c r="H31" s="23">
        <v>25.8</v>
      </c>
      <c r="I31" s="23">
        <f t="shared" si="3"/>
        <v>7.67</v>
      </c>
      <c r="J31" s="23">
        <f t="shared" si="4"/>
        <v>1.51</v>
      </c>
      <c r="K31" s="23">
        <f t="shared" si="5"/>
        <v>2.58</v>
      </c>
      <c r="L31" s="264"/>
      <c r="M31" s="264"/>
      <c r="N31" s="693" t="s">
        <v>943</v>
      </c>
      <c r="O31" s="694" t="s">
        <v>1088</v>
      </c>
      <c r="P31" s="699">
        <v>88</v>
      </c>
      <c r="Q31" s="690">
        <v>48</v>
      </c>
      <c r="R31" s="23">
        <v>76.7</v>
      </c>
      <c r="S31" s="23">
        <v>15.1</v>
      </c>
      <c r="T31" s="23">
        <v>25.8</v>
      </c>
      <c r="U31" s="23">
        <f t="shared" si="6"/>
        <v>7.67</v>
      </c>
      <c r="V31" s="23">
        <f t="shared" si="1"/>
        <v>1.51</v>
      </c>
      <c r="W31" s="23">
        <f t="shared" si="2"/>
        <v>2.58</v>
      </c>
    </row>
    <row r="32" spans="1:23" ht="15.75">
      <c r="A32" s="297">
        <v>1</v>
      </c>
      <c r="B32" s="47" t="s">
        <v>944</v>
      </c>
      <c r="C32" s="694" t="s">
        <v>1088</v>
      </c>
      <c r="D32" s="666">
        <v>88</v>
      </c>
      <c r="E32" s="21">
        <v>44</v>
      </c>
      <c r="F32" s="23">
        <v>70.400000000000006</v>
      </c>
      <c r="G32" s="23">
        <v>14.47</v>
      </c>
      <c r="H32" s="23">
        <v>23.3</v>
      </c>
      <c r="I32" s="23">
        <f t="shared" si="3"/>
        <v>7.0400000000000009</v>
      </c>
      <c r="J32" s="23">
        <f t="shared" si="4"/>
        <v>1.4470000000000001</v>
      </c>
      <c r="K32" s="23">
        <f t="shared" si="5"/>
        <v>2.33</v>
      </c>
      <c r="L32" s="264"/>
      <c r="M32" s="264"/>
      <c r="N32" s="693" t="s">
        <v>944</v>
      </c>
      <c r="O32" s="694" t="s">
        <v>1088</v>
      </c>
      <c r="P32" s="699">
        <v>88</v>
      </c>
      <c r="Q32" s="690">
        <v>44</v>
      </c>
      <c r="R32" s="23">
        <v>70.400000000000006</v>
      </c>
      <c r="S32" s="23">
        <v>14.47</v>
      </c>
      <c r="T32" s="23">
        <v>23.3</v>
      </c>
      <c r="U32" s="23">
        <f t="shared" si="6"/>
        <v>7.0400000000000009</v>
      </c>
      <c r="V32" s="23">
        <f t="shared" si="1"/>
        <v>1.4470000000000001</v>
      </c>
      <c r="W32" s="23">
        <f t="shared" si="2"/>
        <v>2.33</v>
      </c>
    </row>
    <row r="33" spans="1:23" ht="15.75">
      <c r="A33" s="297">
        <v>1</v>
      </c>
      <c r="B33" s="47" t="s">
        <v>945</v>
      </c>
      <c r="C33" s="694" t="s">
        <v>1088</v>
      </c>
      <c r="D33" s="666">
        <v>89</v>
      </c>
      <c r="E33" s="21">
        <v>33.4</v>
      </c>
      <c r="F33" s="23">
        <v>54.1</v>
      </c>
      <c r="G33" s="23">
        <v>22.4</v>
      </c>
      <c r="H33" s="23">
        <v>14</v>
      </c>
      <c r="I33" s="23">
        <f t="shared" si="3"/>
        <v>5.41</v>
      </c>
      <c r="J33" s="23">
        <f t="shared" si="4"/>
        <v>2.2399999999999998</v>
      </c>
      <c r="K33" s="23">
        <f t="shared" si="5"/>
        <v>1.4</v>
      </c>
      <c r="L33" s="289"/>
      <c r="M33" s="289"/>
      <c r="N33" s="693" t="s">
        <v>945</v>
      </c>
      <c r="O33" s="694" t="s">
        <v>1088</v>
      </c>
      <c r="P33" s="699">
        <v>89</v>
      </c>
      <c r="Q33" s="690">
        <v>33.4</v>
      </c>
      <c r="R33" s="23">
        <v>54.1</v>
      </c>
      <c r="S33" s="23">
        <v>22.4</v>
      </c>
      <c r="T33" s="23">
        <v>14</v>
      </c>
      <c r="U33" s="23">
        <f t="shared" si="6"/>
        <v>5.41</v>
      </c>
      <c r="V33" s="23">
        <f t="shared" si="1"/>
        <v>2.2399999999999998</v>
      </c>
      <c r="W33" s="23">
        <f t="shared" si="2"/>
        <v>1.4</v>
      </c>
    </row>
    <row r="34" spans="1:23" ht="15.75">
      <c r="A34" s="297">
        <v>1</v>
      </c>
      <c r="B34" s="47" t="s">
        <v>908</v>
      </c>
      <c r="C34" s="694" t="s">
        <v>1088</v>
      </c>
      <c r="D34" s="666">
        <v>90</v>
      </c>
      <c r="E34" s="12"/>
      <c r="F34" s="23">
        <v>14</v>
      </c>
      <c r="G34" s="23">
        <v>2.1</v>
      </c>
      <c r="H34" s="23">
        <v>6.6</v>
      </c>
      <c r="I34" s="23">
        <f t="shared" si="3"/>
        <v>1.4</v>
      </c>
      <c r="J34" s="23">
        <f t="shared" si="4"/>
        <v>0.21000000000000002</v>
      </c>
      <c r="K34" s="23">
        <f t="shared" si="5"/>
        <v>0.65999999999999992</v>
      </c>
      <c r="L34" s="289"/>
      <c r="M34" s="289"/>
      <c r="N34" s="693" t="s">
        <v>908</v>
      </c>
      <c r="O34" s="694" t="s">
        <v>1088</v>
      </c>
      <c r="P34" s="699">
        <v>90</v>
      </c>
      <c r="Q34" s="12"/>
      <c r="R34" s="23">
        <v>14</v>
      </c>
      <c r="S34" s="23">
        <v>2.1</v>
      </c>
      <c r="T34" s="23">
        <v>6.6</v>
      </c>
      <c r="U34" s="23">
        <f t="shared" si="6"/>
        <v>1.4</v>
      </c>
      <c r="V34" s="23">
        <f t="shared" si="1"/>
        <v>0.21000000000000002</v>
      </c>
      <c r="W34" s="23">
        <f t="shared" si="2"/>
        <v>0.65999999999999992</v>
      </c>
    </row>
    <row r="35" spans="1:23" ht="15.75">
      <c r="A35" s="297">
        <v>1</v>
      </c>
      <c r="B35" s="47" t="s">
        <v>946</v>
      </c>
      <c r="C35" s="694" t="s">
        <v>1088</v>
      </c>
      <c r="D35" s="666">
        <v>87.5</v>
      </c>
      <c r="E35" s="12"/>
      <c r="F35" s="23">
        <v>24.7</v>
      </c>
      <c r="G35" s="23">
        <v>21.1</v>
      </c>
      <c r="H35" s="23">
        <v>15</v>
      </c>
      <c r="I35" s="23">
        <f t="shared" si="3"/>
        <v>2.4699999999999998</v>
      </c>
      <c r="J35" s="23">
        <f t="shared" si="4"/>
        <v>2.1100000000000003</v>
      </c>
      <c r="K35" s="23">
        <f t="shared" si="5"/>
        <v>1.5</v>
      </c>
      <c r="L35" s="264"/>
      <c r="M35" s="264"/>
      <c r="N35" s="693" t="s">
        <v>946</v>
      </c>
      <c r="O35" s="694" t="s">
        <v>1088</v>
      </c>
      <c r="P35" s="699">
        <v>87.5</v>
      </c>
      <c r="Q35" s="12"/>
      <c r="R35" s="23">
        <v>24.7</v>
      </c>
      <c r="S35" s="23">
        <v>21.1</v>
      </c>
      <c r="T35" s="23">
        <v>15</v>
      </c>
      <c r="U35" s="23">
        <f t="shared" si="6"/>
        <v>2.4699999999999998</v>
      </c>
      <c r="V35" s="23">
        <f t="shared" si="1"/>
        <v>2.1100000000000003</v>
      </c>
      <c r="W35" s="23">
        <f t="shared" si="2"/>
        <v>1.5</v>
      </c>
    </row>
    <row r="36" spans="1:23" ht="15.75">
      <c r="A36" s="297">
        <v>1</v>
      </c>
      <c r="B36" s="47" t="s">
        <v>947</v>
      </c>
      <c r="C36" s="694" t="s">
        <v>1088</v>
      </c>
      <c r="D36" s="666">
        <v>87</v>
      </c>
      <c r="E36" s="12"/>
      <c r="F36" s="23">
        <v>26.5</v>
      </c>
      <c r="G36" s="23">
        <v>13.92</v>
      </c>
      <c r="H36" s="23">
        <v>12</v>
      </c>
      <c r="I36" s="23">
        <f t="shared" si="3"/>
        <v>2.65</v>
      </c>
      <c r="J36" s="23">
        <f t="shared" si="4"/>
        <v>1.3919999999999999</v>
      </c>
      <c r="K36" s="23">
        <f t="shared" si="5"/>
        <v>1.2</v>
      </c>
      <c r="L36" s="290"/>
      <c r="M36" s="290"/>
      <c r="N36" s="693" t="s">
        <v>947</v>
      </c>
      <c r="O36" s="694" t="s">
        <v>1088</v>
      </c>
      <c r="P36" s="699">
        <v>87</v>
      </c>
      <c r="Q36" s="12"/>
      <c r="R36" s="23">
        <v>26.5</v>
      </c>
      <c r="S36" s="23">
        <v>13.92</v>
      </c>
      <c r="T36" s="23">
        <v>12</v>
      </c>
      <c r="U36" s="23">
        <f t="shared" si="6"/>
        <v>2.65</v>
      </c>
      <c r="V36" s="23">
        <f t="shared" si="1"/>
        <v>1.3919999999999999</v>
      </c>
      <c r="W36" s="23">
        <f t="shared" si="2"/>
        <v>1.2</v>
      </c>
    </row>
    <row r="37" spans="1:23" ht="15.75">
      <c r="A37" s="297">
        <v>1</v>
      </c>
      <c r="B37" s="47" t="s">
        <v>948</v>
      </c>
      <c r="C37" s="694" t="s">
        <v>1088</v>
      </c>
      <c r="D37" s="666">
        <v>88</v>
      </c>
      <c r="E37" s="21">
        <v>14.1</v>
      </c>
      <c r="F37" s="23">
        <v>22.5</v>
      </c>
      <c r="G37" s="23">
        <v>26.2</v>
      </c>
      <c r="H37" s="23">
        <v>14</v>
      </c>
      <c r="I37" s="23">
        <f t="shared" si="3"/>
        <v>2.25</v>
      </c>
      <c r="J37" s="23">
        <f t="shared" si="4"/>
        <v>2.62</v>
      </c>
      <c r="K37" s="23">
        <f t="shared" si="5"/>
        <v>1.4</v>
      </c>
      <c r="L37" s="25"/>
      <c r="M37" s="25"/>
      <c r="N37" s="693" t="s">
        <v>948</v>
      </c>
      <c r="O37" s="694" t="s">
        <v>1088</v>
      </c>
      <c r="P37" s="699">
        <v>88</v>
      </c>
      <c r="Q37" s="690">
        <v>14.1</v>
      </c>
      <c r="R37" s="23">
        <v>22.5</v>
      </c>
      <c r="S37" s="23">
        <v>26.2</v>
      </c>
      <c r="T37" s="23">
        <v>14</v>
      </c>
      <c r="U37" s="23">
        <f t="shared" si="6"/>
        <v>2.25</v>
      </c>
      <c r="V37" s="23">
        <f t="shared" si="1"/>
        <v>2.62</v>
      </c>
      <c r="W37" s="23">
        <f t="shared" si="2"/>
        <v>1.4</v>
      </c>
    </row>
    <row r="38" spans="1:23" ht="15.75">
      <c r="A38" s="297">
        <v>1</v>
      </c>
      <c r="B38" s="47" t="s">
        <v>949</v>
      </c>
      <c r="C38" s="694" t="s">
        <v>1088</v>
      </c>
      <c r="D38" s="666">
        <v>78</v>
      </c>
      <c r="E38" s="296"/>
      <c r="F38" s="23">
        <v>16.84</v>
      </c>
      <c r="G38" s="23">
        <v>0.85</v>
      </c>
      <c r="H38" s="23">
        <v>50.4</v>
      </c>
      <c r="I38" s="23">
        <f t="shared" si="3"/>
        <v>1.6839999999999999</v>
      </c>
      <c r="J38" s="23">
        <f t="shared" si="4"/>
        <v>8.4999999999999992E-2</v>
      </c>
      <c r="K38" s="23">
        <f t="shared" si="5"/>
        <v>5.04</v>
      </c>
      <c r="L38" s="25"/>
      <c r="M38" s="25"/>
      <c r="N38" s="693" t="s">
        <v>949</v>
      </c>
      <c r="O38" s="694" t="s">
        <v>1088</v>
      </c>
      <c r="P38" s="699">
        <v>78</v>
      </c>
      <c r="Q38" s="690"/>
      <c r="R38" s="23">
        <v>16.84</v>
      </c>
      <c r="S38" s="23">
        <v>0.85</v>
      </c>
      <c r="T38" s="23">
        <v>50.4</v>
      </c>
      <c r="U38" s="23">
        <f t="shared" si="6"/>
        <v>1.6839999999999999</v>
      </c>
      <c r="V38" s="23">
        <f t="shared" si="1"/>
        <v>8.4999999999999992E-2</v>
      </c>
      <c r="W38" s="23">
        <f t="shared" si="2"/>
        <v>5.04</v>
      </c>
    </row>
    <row r="39" spans="1:23" ht="15.75">
      <c r="A39" s="297">
        <v>1</v>
      </c>
      <c r="B39" s="47" t="s">
        <v>950</v>
      </c>
      <c r="C39" s="694" t="s">
        <v>1088</v>
      </c>
      <c r="D39" s="666">
        <v>13.5</v>
      </c>
      <c r="E39" s="83">
        <v>3.4</v>
      </c>
      <c r="F39" s="83">
        <v>5.61</v>
      </c>
      <c r="G39" s="83">
        <v>2.2999999999999998</v>
      </c>
      <c r="H39" s="23">
        <v>1.8</v>
      </c>
      <c r="I39" s="23">
        <f t="shared" si="3"/>
        <v>0.56100000000000005</v>
      </c>
      <c r="J39" s="23">
        <f t="shared" si="4"/>
        <v>0.22999999999999998</v>
      </c>
      <c r="K39" s="23">
        <f t="shared" si="5"/>
        <v>0.18</v>
      </c>
      <c r="L39" s="25"/>
      <c r="M39" s="25"/>
      <c r="N39" s="693" t="s">
        <v>950</v>
      </c>
      <c r="O39" s="694" t="s">
        <v>1088</v>
      </c>
      <c r="P39" s="699">
        <v>13.5</v>
      </c>
      <c r="Q39" s="694">
        <v>3.4</v>
      </c>
      <c r="R39" s="694">
        <v>5.61</v>
      </c>
      <c r="S39" s="694">
        <v>2.2999999999999998</v>
      </c>
      <c r="T39" s="23">
        <v>1.8</v>
      </c>
      <c r="U39" s="23">
        <f t="shared" si="6"/>
        <v>0.56100000000000005</v>
      </c>
      <c r="V39" s="23">
        <f t="shared" si="1"/>
        <v>0.22999999999999998</v>
      </c>
      <c r="W39" s="23">
        <f t="shared" si="2"/>
        <v>0.18</v>
      </c>
    </row>
    <row r="40" spans="1:23" ht="15.75">
      <c r="A40" s="33">
        <v>2</v>
      </c>
      <c r="B40" s="47" t="s">
        <v>951</v>
      </c>
      <c r="C40" s="694" t="s">
        <v>1088</v>
      </c>
      <c r="D40" s="666">
        <v>94</v>
      </c>
      <c r="E40" s="83">
        <v>21</v>
      </c>
      <c r="F40" s="83">
        <v>33.6</v>
      </c>
      <c r="G40" s="83">
        <v>13.74</v>
      </c>
      <c r="H40" s="23">
        <v>22.8</v>
      </c>
      <c r="I40" s="23">
        <f t="shared" si="3"/>
        <v>3.3600000000000003</v>
      </c>
      <c r="J40" s="23">
        <f t="shared" si="4"/>
        <v>1.3740000000000001</v>
      </c>
      <c r="K40" s="23">
        <f t="shared" si="5"/>
        <v>2.2800000000000002</v>
      </c>
      <c r="L40" s="25"/>
      <c r="M40" s="25"/>
      <c r="N40" s="693" t="s">
        <v>951</v>
      </c>
      <c r="O40" s="694" t="s">
        <v>1088</v>
      </c>
      <c r="P40" s="699">
        <v>94</v>
      </c>
      <c r="Q40" s="694">
        <v>21</v>
      </c>
      <c r="R40" s="694">
        <v>33.6</v>
      </c>
      <c r="S40" s="694">
        <v>13.74</v>
      </c>
      <c r="T40" s="23">
        <v>22.8</v>
      </c>
      <c r="U40" s="23">
        <f t="shared" si="6"/>
        <v>3.3600000000000003</v>
      </c>
      <c r="V40" s="23">
        <f t="shared" si="1"/>
        <v>1.3740000000000001</v>
      </c>
      <c r="W40" s="23">
        <f t="shared" si="2"/>
        <v>2.2800000000000002</v>
      </c>
    </row>
    <row r="41" spans="1:23" ht="15.75">
      <c r="A41" s="33">
        <v>2</v>
      </c>
      <c r="B41" s="47" t="s">
        <v>952</v>
      </c>
      <c r="C41" s="694" t="s">
        <v>1088</v>
      </c>
      <c r="D41" s="666">
        <v>94</v>
      </c>
      <c r="E41" s="83">
        <v>22</v>
      </c>
      <c r="F41" s="83">
        <v>35.200000000000003</v>
      </c>
      <c r="G41" s="83">
        <v>13.74</v>
      </c>
      <c r="H41" s="23">
        <v>22.8</v>
      </c>
      <c r="I41" s="23">
        <f t="shared" si="3"/>
        <v>3.5200000000000005</v>
      </c>
      <c r="J41" s="23">
        <f t="shared" si="4"/>
        <v>1.3740000000000001</v>
      </c>
      <c r="K41" s="23">
        <f t="shared" si="5"/>
        <v>2.2800000000000002</v>
      </c>
      <c r="L41" s="25"/>
      <c r="M41" s="25"/>
      <c r="N41" s="693" t="s">
        <v>952</v>
      </c>
      <c r="O41" s="694" t="s">
        <v>1088</v>
      </c>
      <c r="P41" s="699">
        <v>94</v>
      </c>
      <c r="Q41" s="694">
        <v>22</v>
      </c>
      <c r="R41" s="694">
        <v>35.200000000000003</v>
      </c>
      <c r="S41" s="694">
        <v>13.74</v>
      </c>
      <c r="T41" s="23">
        <v>22.8</v>
      </c>
      <c r="U41" s="23">
        <f t="shared" si="6"/>
        <v>3.5200000000000005</v>
      </c>
      <c r="V41" s="23">
        <f t="shared" si="1"/>
        <v>1.3740000000000001</v>
      </c>
      <c r="W41" s="23">
        <f t="shared" si="2"/>
        <v>2.2800000000000002</v>
      </c>
    </row>
    <row r="42" spans="1:23" ht="15.75">
      <c r="A42" s="33">
        <v>2</v>
      </c>
      <c r="B42" s="47" t="s">
        <v>953</v>
      </c>
      <c r="C42" s="694" t="s">
        <v>1088</v>
      </c>
      <c r="D42" s="666">
        <v>88</v>
      </c>
      <c r="E42" s="83">
        <v>18</v>
      </c>
      <c r="F42" s="83">
        <v>28.8</v>
      </c>
      <c r="G42" s="83">
        <v>11.45</v>
      </c>
      <c r="H42" s="23">
        <v>10.8</v>
      </c>
      <c r="I42" s="23">
        <f t="shared" si="3"/>
        <v>2.88</v>
      </c>
      <c r="J42" s="23">
        <f t="shared" si="4"/>
        <v>1.145</v>
      </c>
      <c r="K42" s="23">
        <f t="shared" si="5"/>
        <v>1.08</v>
      </c>
      <c r="L42" s="25"/>
      <c r="M42" s="25"/>
      <c r="N42" s="693" t="s">
        <v>953</v>
      </c>
      <c r="O42" s="694" t="s">
        <v>1088</v>
      </c>
      <c r="P42" s="699">
        <v>88</v>
      </c>
      <c r="Q42" s="694">
        <v>18</v>
      </c>
      <c r="R42" s="694">
        <v>28.8</v>
      </c>
      <c r="S42" s="694">
        <v>11.45</v>
      </c>
      <c r="T42" s="23">
        <v>10.8</v>
      </c>
      <c r="U42" s="23">
        <f t="shared" si="6"/>
        <v>2.88</v>
      </c>
      <c r="V42" s="23">
        <f t="shared" si="1"/>
        <v>1.145</v>
      </c>
      <c r="W42" s="23">
        <f t="shared" si="2"/>
        <v>1.08</v>
      </c>
    </row>
    <row r="43" spans="1:23" ht="15.75">
      <c r="A43" s="33">
        <v>2</v>
      </c>
      <c r="B43" s="47" t="s">
        <v>954</v>
      </c>
      <c r="C43" s="694" t="s">
        <v>1088</v>
      </c>
      <c r="D43" s="666">
        <v>88</v>
      </c>
      <c r="E43" s="83">
        <v>24</v>
      </c>
      <c r="F43" s="83">
        <v>38.4</v>
      </c>
      <c r="G43" s="295">
        <v>11.45</v>
      </c>
      <c r="H43" s="23">
        <v>10.8</v>
      </c>
      <c r="I43" s="23">
        <f t="shared" si="3"/>
        <v>3.84</v>
      </c>
      <c r="J43" s="23">
        <f t="shared" si="4"/>
        <v>1.145</v>
      </c>
      <c r="K43" s="23">
        <f t="shared" si="5"/>
        <v>1.08</v>
      </c>
      <c r="L43" s="290"/>
      <c r="M43" s="290"/>
      <c r="N43" s="693" t="s">
        <v>954</v>
      </c>
      <c r="O43" s="694" t="s">
        <v>1088</v>
      </c>
      <c r="P43" s="699">
        <v>88</v>
      </c>
      <c r="Q43" s="694">
        <v>24</v>
      </c>
      <c r="R43" s="694">
        <v>38.4</v>
      </c>
      <c r="S43" s="694">
        <v>11.45</v>
      </c>
      <c r="T43" s="23">
        <v>10.8</v>
      </c>
      <c r="U43" s="23">
        <f t="shared" si="6"/>
        <v>3.84</v>
      </c>
      <c r="V43" s="23">
        <f t="shared" si="1"/>
        <v>1.145</v>
      </c>
      <c r="W43" s="23">
        <f t="shared" si="2"/>
        <v>1.08</v>
      </c>
    </row>
    <row r="44" spans="1:23" ht="15.75">
      <c r="A44" s="33"/>
      <c r="B44" s="47" t="s">
        <v>1089</v>
      </c>
      <c r="C44" s="694" t="s">
        <v>1088</v>
      </c>
      <c r="D44" s="666">
        <v>88</v>
      </c>
      <c r="E44" s="83">
        <v>20</v>
      </c>
      <c r="F44" s="83">
        <v>32</v>
      </c>
      <c r="G44" s="83">
        <v>13.1</v>
      </c>
      <c r="H44" s="23">
        <v>13.3</v>
      </c>
      <c r="I44" s="23">
        <f t="shared" si="3"/>
        <v>3.2</v>
      </c>
      <c r="J44" s="23">
        <f t="shared" si="4"/>
        <v>1.31</v>
      </c>
      <c r="K44" s="23">
        <f t="shared" si="5"/>
        <v>1.33</v>
      </c>
      <c r="L44" s="25"/>
      <c r="M44" s="25"/>
      <c r="N44" s="693" t="s">
        <v>1089</v>
      </c>
      <c r="O44" s="694" t="s">
        <v>1088</v>
      </c>
      <c r="P44" s="699">
        <v>88</v>
      </c>
      <c r="Q44" s="694">
        <v>20</v>
      </c>
      <c r="R44" s="694">
        <v>32</v>
      </c>
      <c r="S44" s="694">
        <v>13.1</v>
      </c>
      <c r="T44" s="23">
        <v>13.3</v>
      </c>
      <c r="U44" s="23">
        <f t="shared" si="6"/>
        <v>3.2</v>
      </c>
      <c r="V44" s="23">
        <f t="shared" si="1"/>
        <v>1.31</v>
      </c>
      <c r="W44" s="23">
        <f t="shared" si="2"/>
        <v>1.33</v>
      </c>
    </row>
    <row r="45" spans="1:23" ht="15.75">
      <c r="A45" s="33"/>
      <c r="B45" s="47" t="s">
        <v>1033</v>
      </c>
      <c r="C45" s="694" t="s">
        <v>1088</v>
      </c>
      <c r="D45" s="666">
        <v>88</v>
      </c>
      <c r="E45" s="83">
        <v>18</v>
      </c>
      <c r="F45" s="83">
        <v>28.8</v>
      </c>
      <c r="G45" s="83">
        <v>13.7</v>
      </c>
      <c r="H45" s="23">
        <v>13.3</v>
      </c>
      <c r="I45" s="23">
        <f t="shared" si="3"/>
        <v>2.88</v>
      </c>
      <c r="J45" s="23">
        <f t="shared" si="4"/>
        <v>1.3699999999999999</v>
      </c>
      <c r="K45" s="23">
        <f t="shared" si="5"/>
        <v>1.33</v>
      </c>
      <c r="L45" s="25"/>
      <c r="M45" s="25"/>
      <c r="N45" s="693" t="s">
        <v>1033</v>
      </c>
      <c r="O45" s="694" t="s">
        <v>1088</v>
      </c>
      <c r="P45" s="699">
        <v>88</v>
      </c>
      <c r="Q45" s="694">
        <v>18</v>
      </c>
      <c r="R45" s="694">
        <v>28.8</v>
      </c>
      <c r="S45" s="694">
        <v>13.7</v>
      </c>
      <c r="T45" s="23">
        <v>13.3</v>
      </c>
      <c r="U45" s="23">
        <f t="shared" si="6"/>
        <v>2.88</v>
      </c>
      <c r="V45" s="23">
        <f t="shared" si="1"/>
        <v>1.3699999999999999</v>
      </c>
      <c r="W45" s="23">
        <f t="shared" si="2"/>
        <v>1.33</v>
      </c>
    </row>
    <row r="46" spans="1:23" ht="15.75">
      <c r="A46" s="33"/>
      <c r="B46" s="47" t="s">
        <v>955</v>
      </c>
      <c r="C46" s="694" t="s">
        <v>1088</v>
      </c>
      <c r="D46" s="666">
        <v>88</v>
      </c>
      <c r="E46" s="83">
        <v>16</v>
      </c>
      <c r="F46" s="83">
        <v>25.6</v>
      </c>
      <c r="G46" s="83">
        <v>11.5</v>
      </c>
      <c r="H46" s="23">
        <v>13.3</v>
      </c>
      <c r="I46" s="23">
        <f t="shared" si="3"/>
        <v>2.56</v>
      </c>
      <c r="J46" s="23">
        <f t="shared" si="4"/>
        <v>1.1499999999999999</v>
      </c>
      <c r="K46" s="23">
        <f t="shared" si="5"/>
        <v>1.33</v>
      </c>
      <c r="L46" s="25"/>
      <c r="M46" s="25"/>
      <c r="N46" s="693" t="s">
        <v>955</v>
      </c>
      <c r="O46" s="694" t="s">
        <v>1088</v>
      </c>
      <c r="P46" s="699">
        <v>88</v>
      </c>
      <c r="Q46" s="694">
        <v>16</v>
      </c>
      <c r="R46" s="694">
        <v>25.6</v>
      </c>
      <c r="S46" s="694">
        <v>11.5</v>
      </c>
      <c r="T46" s="23">
        <v>13.3</v>
      </c>
      <c r="U46" s="23">
        <f t="shared" si="6"/>
        <v>2.56</v>
      </c>
      <c r="V46" s="23">
        <f t="shared" si="1"/>
        <v>1.1499999999999999</v>
      </c>
      <c r="W46" s="23">
        <f t="shared" si="2"/>
        <v>1.33</v>
      </c>
    </row>
    <row r="47" spans="1:23" ht="15.75">
      <c r="A47" s="33"/>
      <c r="B47" s="47" t="s">
        <v>956</v>
      </c>
      <c r="C47" s="694" t="s">
        <v>1088</v>
      </c>
      <c r="D47" s="666">
        <v>88</v>
      </c>
      <c r="E47" s="83">
        <v>23</v>
      </c>
      <c r="F47" s="83">
        <v>36.799999999999997</v>
      </c>
      <c r="G47" s="83">
        <v>16</v>
      </c>
      <c r="H47" s="23">
        <v>13.3</v>
      </c>
      <c r="I47" s="23">
        <f t="shared" si="3"/>
        <v>3.6799999999999997</v>
      </c>
      <c r="J47" s="23">
        <f t="shared" si="4"/>
        <v>1.6</v>
      </c>
      <c r="K47" s="23">
        <f t="shared" si="5"/>
        <v>1.33</v>
      </c>
      <c r="L47" s="25"/>
      <c r="M47" s="25"/>
      <c r="N47" s="693" t="s">
        <v>956</v>
      </c>
      <c r="O47" s="694" t="s">
        <v>1088</v>
      </c>
      <c r="P47" s="699">
        <v>88</v>
      </c>
      <c r="Q47" s="694">
        <v>23</v>
      </c>
      <c r="R47" s="694">
        <v>36.799999999999997</v>
      </c>
      <c r="S47" s="694">
        <v>16</v>
      </c>
      <c r="T47" s="23">
        <v>13.3</v>
      </c>
      <c r="U47" s="23">
        <f t="shared" si="6"/>
        <v>3.6799999999999997</v>
      </c>
      <c r="V47" s="23">
        <f t="shared" si="1"/>
        <v>1.6</v>
      </c>
      <c r="W47" s="23">
        <f t="shared" si="2"/>
        <v>1.33</v>
      </c>
    </row>
    <row r="48" spans="1:23" ht="15.75">
      <c r="A48" s="33"/>
      <c r="B48" s="47" t="s">
        <v>957</v>
      </c>
      <c r="C48" s="694" t="s">
        <v>1088</v>
      </c>
      <c r="D48" s="666">
        <v>88</v>
      </c>
      <c r="E48" s="83">
        <v>18</v>
      </c>
      <c r="F48" s="83">
        <v>28.8</v>
      </c>
      <c r="G48" s="83">
        <v>13.1</v>
      </c>
      <c r="H48" s="23">
        <v>13.3</v>
      </c>
      <c r="I48" s="23">
        <f t="shared" si="3"/>
        <v>2.88</v>
      </c>
      <c r="J48" s="23">
        <f t="shared" si="4"/>
        <v>1.31</v>
      </c>
      <c r="K48" s="23">
        <f t="shared" si="5"/>
        <v>1.33</v>
      </c>
      <c r="L48" s="25"/>
      <c r="M48" s="25"/>
      <c r="N48" s="693" t="s">
        <v>957</v>
      </c>
      <c r="O48" s="694" t="s">
        <v>1088</v>
      </c>
      <c r="P48" s="699">
        <v>88</v>
      </c>
      <c r="Q48" s="694">
        <v>18</v>
      </c>
      <c r="R48" s="694">
        <v>28.8</v>
      </c>
      <c r="S48" s="694">
        <v>13.1</v>
      </c>
      <c r="T48" s="23">
        <v>13.3</v>
      </c>
      <c r="U48" s="23">
        <f t="shared" si="6"/>
        <v>2.88</v>
      </c>
      <c r="V48" s="23">
        <f t="shared" si="1"/>
        <v>1.31</v>
      </c>
      <c r="W48" s="23">
        <f t="shared" si="2"/>
        <v>1.33</v>
      </c>
    </row>
    <row r="49" spans="1:23" s="931" customFormat="1" ht="15.75">
      <c r="A49" s="932">
        <v>2</v>
      </c>
      <c r="B49" s="701" t="s">
        <v>1205</v>
      </c>
      <c r="C49" s="933" t="s">
        <v>1088</v>
      </c>
      <c r="D49" s="934">
        <v>95</v>
      </c>
      <c r="E49" s="933">
        <v>0</v>
      </c>
      <c r="F49" s="933">
        <v>0</v>
      </c>
      <c r="G49" s="933">
        <v>0</v>
      </c>
      <c r="H49" s="933">
        <v>0</v>
      </c>
      <c r="I49" s="23">
        <f t="shared" ref="I49" si="7">F49/10</f>
        <v>0</v>
      </c>
      <c r="J49" s="23">
        <f t="shared" ref="J49" si="8">G49/10</f>
        <v>0</v>
      </c>
      <c r="K49" s="23">
        <f t="shared" ref="K49" si="9">H49/10</f>
        <v>0</v>
      </c>
      <c r="L49" s="517"/>
      <c r="M49" s="932">
        <v>2</v>
      </c>
      <c r="N49" s="701" t="s">
        <v>1205</v>
      </c>
      <c r="O49" s="933" t="s">
        <v>1088</v>
      </c>
      <c r="P49" s="934">
        <v>95</v>
      </c>
      <c r="Q49" s="933">
        <v>0</v>
      </c>
      <c r="R49" s="933">
        <v>0</v>
      </c>
      <c r="S49" s="933">
        <v>0</v>
      </c>
      <c r="T49" s="933">
        <v>0</v>
      </c>
      <c r="U49" s="23">
        <f t="shared" si="6"/>
        <v>0</v>
      </c>
      <c r="V49" s="23">
        <f t="shared" si="1"/>
        <v>0</v>
      </c>
      <c r="W49" s="23">
        <f t="shared" si="2"/>
        <v>0</v>
      </c>
    </row>
    <row r="50" spans="1:23" ht="15.75">
      <c r="A50" s="33">
        <v>2</v>
      </c>
      <c r="B50" s="47" t="s">
        <v>958</v>
      </c>
      <c r="C50" s="694" t="s">
        <v>1088</v>
      </c>
      <c r="D50" s="666">
        <v>95</v>
      </c>
      <c r="E50" s="83">
        <v>0</v>
      </c>
      <c r="F50" s="83">
        <v>0</v>
      </c>
      <c r="G50" s="83">
        <v>45.8</v>
      </c>
      <c r="H50" s="83">
        <v>0</v>
      </c>
      <c r="I50" s="23">
        <f t="shared" si="3"/>
        <v>0</v>
      </c>
      <c r="J50" s="23">
        <f t="shared" si="4"/>
        <v>4.58</v>
      </c>
      <c r="K50" s="23">
        <f t="shared" si="5"/>
        <v>0</v>
      </c>
      <c r="L50" s="25"/>
      <c r="M50" s="25"/>
      <c r="N50" s="693" t="s">
        <v>958</v>
      </c>
      <c r="O50" s="694" t="s">
        <v>1088</v>
      </c>
      <c r="P50" s="699">
        <v>95</v>
      </c>
      <c r="Q50" s="694">
        <v>0</v>
      </c>
      <c r="R50" s="694">
        <v>0</v>
      </c>
      <c r="S50" s="694">
        <v>45.8</v>
      </c>
      <c r="T50" s="694">
        <v>0</v>
      </c>
      <c r="U50" s="23">
        <f t="shared" si="6"/>
        <v>0</v>
      </c>
      <c r="V50" s="23">
        <f t="shared" si="1"/>
        <v>4.58</v>
      </c>
      <c r="W50" s="23">
        <f t="shared" si="2"/>
        <v>0</v>
      </c>
    </row>
    <row r="51" spans="1:23" ht="15.75">
      <c r="A51" s="33">
        <v>2</v>
      </c>
      <c r="B51" s="47" t="s">
        <v>959</v>
      </c>
      <c r="C51" s="694" t="s">
        <v>1088</v>
      </c>
      <c r="D51" s="666">
        <v>95</v>
      </c>
      <c r="E51" s="295">
        <v>0</v>
      </c>
      <c r="F51" s="295">
        <v>0</v>
      </c>
      <c r="G51" s="295">
        <v>68.7</v>
      </c>
      <c r="H51" s="295">
        <v>0</v>
      </c>
      <c r="I51" s="23">
        <f t="shared" si="3"/>
        <v>0</v>
      </c>
      <c r="J51" s="23">
        <f t="shared" si="4"/>
        <v>6.87</v>
      </c>
      <c r="K51" s="23">
        <f t="shared" si="5"/>
        <v>0</v>
      </c>
      <c r="L51" s="25"/>
      <c r="M51" s="25"/>
      <c r="N51" s="693" t="s">
        <v>959</v>
      </c>
      <c r="O51" s="694" t="s">
        <v>1088</v>
      </c>
      <c r="P51" s="699">
        <v>95</v>
      </c>
      <c r="Q51" s="694">
        <v>0</v>
      </c>
      <c r="R51" s="694">
        <v>0</v>
      </c>
      <c r="S51" s="694">
        <v>68.7</v>
      </c>
      <c r="T51" s="694">
        <v>0</v>
      </c>
      <c r="U51" s="23">
        <f t="shared" si="6"/>
        <v>0</v>
      </c>
      <c r="V51" s="23">
        <f t="shared" si="1"/>
        <v>6.87</v>
      </c>
      <c r="W51" s="23">
        <f t="shared" si="2"/>
        <v>0</v>
      </c>
    </row>
    <row r="52" spans="1:23" ht="15.75">
      <c r="A52" s="33">
        <v>2</v>
      </c>
      <c r="B52" s="47" t="s">
        <v>960</v>
      </c>
      <c r="C52" s="694" t="s">
        <v>1088</v>
      </c>
      <c r="D52" s="666">
        <v>95</v>
      </c>
      <c r="E52" s="295">
        <v>0</v>
      </c>
      <c r="F52" s="295">
        <v>0</v>
      </c>
      <c r="G52" s="295">
        <v>114.5</v>
      </c>
      <c r="H52" s="295">
        <v>0</v>
      </c>
      <c r="I52" s="23">
        <f t="shared" si="3"/>
        <v>0</v>
      </c>
      <c r="J52" s="23">
        <f t="shared" si="4"/>
        <v>11.45</v>
      </c>
      <c r="K52" s="23">
        <f t="shared" si="5"/>
        <v>0</v>
      </c>
      <c r="L52" s="25"/>
      <c r="M52" s="25"/>
      <c r="N52" s="693" t="s">
        <v>960</v>
      </c>
      <c r="O52" s="694" t="s">
        <v>1088</v>
      </c>
      <c r="P52" s="699">
        <v>95</v>
      </c>
      <c r="Q52" s="694">
        <v>0</v>
      </c>
      <c r="R52" s="694">
        <v>0</v>
      </c>
      <c r="S52" s="694">
        <v>114.5</v>
      </c>
      <c r="T52" s="694">
        <v>0</v>
      </c>
      <c r="U52" s="23">
        <f t="shared" si="6"/>
        <v>0</v>
      </c>
      <c r="V52" s="23">
        <f t="shared" si="1"/>
        <v>11.45</v>
      </c>
      <c r="W52" s="23">
        <f t="shared" si="2"/>
        <v>0</v>
      </c>
    </row>
    <row r="53" spans="1:23" ht="15.75">
      <c r="A53" s="33"/>
      <c r="B53" s="47" t="s">
        <v>961</v>
      </c>
      <c r="C53" s="694" t="s">
        <v>1088</v>
      </c>
      <c r="D53" s="666">
        <v>6</v>
      </c>
      <c r="E53" s="83">
        <v>0.9</v>
      </c>
      <c r="F53" s="83">
        <v>1.4</v>
      </c>
      <c r="G53" s="83">
        <v>1.6</v>
      </c>
      <c r="H53" s="83">
        <v>1.9</v>
      </c>
      <c r="I53" s="23">
        <f t="shared" si="3"/>
        <v>0.13999999999999999</v>
      </c>
      <c r="J53" s="23">
        <f t="shared" si="4"/>
        <v>0.16</v>
      </c>
      <c r="K53" s="23">
        <f t="shared" si="5"/>
        <v>0.19</v>
      </c>
      <c r="L53" s="25"/>
      <c r="M53" s="25"/>
      <c r="N53" s="693" t="s">
        <v>961</v>
      </c>
      <c r="O53" s="694" t="s">
        <v>1088</v>
      </c>
      <c r="P53" s="699">
        <v>6</v>
      </c>
      <c r="Q53" s="694">
        <v>0.9</v>
      </c>
      <c r="R53" s="694">
        <v>1.4</v>
      </c>
      <c r="S53" s="694">
        <v>1.6</v>
      </c>
      <c r="T53" s="694">
        <v>1.9</v>
      </c>
      <c r="U53" s="23">
        <f t="shared" si="6"/>
        <v>0.13999999999999999</v>
      </c>
      <c r="V53" s="23">
        <f t="shared" si="1"/>
        <v>0.16</v>
      </c>
      <c r="W53" s="23">
        <f t="shared" si="2"/>
        <v>0.19</v>
      </c>
    </row>
    <row r="54" spans="1:23" ht="15.75" customHeight="1">
      <c r="A54" s="33"/>
      <c r="B54" s="300" t="s">
        <v>962</v>
      </c>
      <c r="C54" s="560">
        <v>5.7</v>
      </c>
      <c r="D54" s="682">
        <v>86</v>
      </c>
      <c r="E54" s="55"/>
      <c r="F54" s="55"/>
      <c r="G54" s="55"/>
      <c r="H54" s="55"/>
      <c r="I54" s="55">
        <v>1.81</v>
      </c>
      <c r="J54" s="56">
        <v>0.8</v>
      </c>
      <c r="K54" s="56">
        <v>0.6</v>
      </c>
      <c r="L54" s="53"/>
      <c r="M54" s="53"/>
      <c r="N54" s="300" t="s">
        <v>962</v>
      </c>
      <c r="O54" s="694">
        <v>5.7</v>
      </c>
      <c r="P54" s="682">
        <v>86</v>
      </c>
      <c r="Q54" s="55"/>
      <c r="R54" s="55"/>
      <c r="S54" s="55"/>
      <c r="T54" s="55"/>
      <c r="U54" s="55">
        <v>1.81</v>
      </c>
      <c r="V54" s="56">
        <v>0.8</v>
      </c>
      <c r="W54" s="56">
        <v>0.6</v>
      </c>
    </row>
    <row r="55" spans="1:23" ht="15.75" customHeight="1">
      <c r="A55" s="33"/>
      <c r="B55" s="300" t="s">
        <v>892</v>
      </c>
      <c r="C55" s="560">
        <v>6.25</v>
      </c>
      <c r="D55" s="682">
        <v>86</v>
      </c>
      <c r="E55" s="55"/>
      <c r="F55" s="55"/>
      <c r="G55" s="55"/>
      <c r="H55" s="55"/>
      <c r="I55" s="55">
        <v>1.65</v>
      </c>
      <c r="J55" s="56">
        <v>0.8</v>
      </c>
      <c r="K55" s="56">
        <v>0.6</v>
      </c>
      <c r="L55" s="53"/>
      <c r="M55" s="53"/>
      <c r="N55" s="300" t="s">
        <v>892</v>
      </c>
      <c r="O55" s="694">
        <v>6.25</v>
      </c>
      <c r="P55" s="682">
        <v>86</v>
      </c>
      <c r="Q55" s="55"/>
      <c r="R55" s="55"/>
      <c r="S55" s="55"/>
      <c r="T55" s="55"/>
      <c r="U55" s="55">
        <v>1.65</v>
      </c>
      <c r="V55" s="56">
        <v>0.8</v>
      </c>
      <c r="W55" s="56">
        <v>0.6</v>
      </c>
    </row>
    <row r="56" spans="1:23" ht="15.75" customHeight="1">
      <c r="A56" s="33"/>
      <c r="B56" s="300" t="s">
        <v>893</v>
      </c>
      <c r="C56" s="694">
        <v>6.25</v>
      </c>
      <c r="D56" s="682">
        <v>86</v>
      </c>
      <c r="E56" s="55"/>
      <c r="F56" s="55"/>
      <c r="G56" s="55"/>
      <c r="H56" s="55"/>
      <c r="I56" s="55">
        <v>1.51</v>
      </c>
      <c r="J56" s="56">
        <v>0.8</v>
      </c>
      <c r="K56" s="56">
        <v>0.6</v>
      </c>
      <c r="L56" s="53"/>
      <c r="M56" s="53"/>
      <c r="N56" s="300" t="s">
        <v>893</v>
      </c>
      <c r="O56" s="694">
        <v>6.25</v>
      </c>
      <c r="P56" s="682">
        <v>86</v>
      </c>
      <c r="Q56" s="55"/>
      <c r="R56" s="55"/>
      <c r="S56" s="55"/>
      <c r="T56" s="55"/>
      <c r="U56" s="55">
        <v>1.51</v>
      </c>
      <c r="V56" s="56">
        <v>0.8</v>
      </c>
      <c r="W56" s="56">
        <v>0.6</v>
      </c>
    </row>
    <row r="57" spans="1:23" ht="15.75" customHeight="1">
      <c r="A57" s="33"/>
      <c r="B57" s="300" t="s">
        <v>894</v>
      </c>
      <c r="C57" s="694">
        <v>6.25</v>
      </c>
      <c r="D57" s="682">
        <v>86</v>
      </c>
      <c r="E57" s="55"/>
      <c r="F57" s="55"/>
      <c r="G57" s="55"/>
      <c r="H57" s="55"/>
      <c r="I57" s="55">
        <v>1.65</v>
      </c>
      <c r="J57" s="56">
        <v>0.8</v>
      </c>
      <c r="K57" s="56">
        <v>0.6</v>
      </c>
      <c r="L57" s="53"/>
      <c r="M57" s="53"/>
      <c r="N57" s="300" t="s">
        <v>894</v>
      </c>
      <c r="O57" s="694">
        <v>6.25</v>
      </c>
      <c r="P57" s="682">
        <v>86</v>
      </c>
      <c r="Q57" s="55"/>
      <c r="R57" s="55"/>
      <c r="S57" s="55"/>
      <c r="T57" s="55"/>
      <c r="U57" s="55">
        <v>1.65</v>
      </c>
      <c r="V57" s="56">
        <v>0.8</v>
      </c>
      <c r="W57" s="56">
        <v>0.6</v>
      </c>
    </row>
    <row r="58" spans="1:23" ht="15.75" customHeight="1">
      <c r="A58" s="33"/>
      <c r="B58" s="300" t="s">
        <v>895</v>
      </c>
      <c r="C58" s="694">
        <v>6.25</v>
      </c>
      <c r="D58" s="682">
        <v>86</v>
      </c>
      <c r="E58" s="55"/>
      <c r="F58" s="55"/>
      <c r="G58" s="55"/>
      <c r="H58" s="55"/>
      <c r="I58" s="55">
        <v>1.65</v>
      </c>
      <c r="J58" s="56">
        <v>0.8</v>
      </c>
      <c r="K58" s="56">
        <v>0.6</v>
      </c>
      <c r="L58" s="53"/>
      <c r="M58" s="53"/>
      <c r="N58" s="300" t="s">
        <v>895</v>
      </c>
      <c r="O58" s="694">
        <v>6.25</v>
      </c>
      <c r="P58" s="682">
        <v>86</v>
      </c>
      <c r="Q58" s="55"/>
      <c r="R58" s="55"/>
      <c r="S58" s="55"/>
      <c r="T58" s="55"/>
      <c r="U58" s="55">
        <v>1.65</v>
      </c>
      <c r="V58" s="56">
        <v>0.8</v>
      </c>
      <c r="W58" s="56">
        <v>0.6</v>
      </c>
    </row>
    <row r="59" spans="1:23" ht="15.75" customHeight="1">
      <c r="A59" s="33"/>
      <c r="B59" s="300" t="s">
        <v>897</v>
      </c>
      <c r="C59" s="694">
        <v>6.25</v>
      </c>
      <c r="D59" s="682">
        <v>86</v>
      </c>
      <c r="E59" s="55"/>
      <c r="F59" s="55"/>
      <c r="G59" s="55"/>
      <c r="H59" s="55"/>
      <c r="I59" s="55">
        <v>1.51</v>
      </c>
      <c r="J59" s="56">
        <v>0.8</v>
      </c>
      <c r="K59" s="56">
        <v>0.6</v>
      </c>
      <c r="L59" s="53"/>
      <c r="M59" s="53"/>
      <c r="N59" s="300" t="s">
        <v>897</v>
      </c>
      <c r="O59" s="694">
        <v>6.25</v>
      </c>
      <c r="P59" s="682">
        <v>86</v>
      </c>
      <c r="Q59" s="55"/>
      <c r="R59" s="55"/>
      <c r="S59" s="55"/>
      <c r="T59" s="55"/>
      <c r="U59" s="55">
        <v>1.51</v>
      </c>
      <c r="V59" s="56">
        <v>0.8</v>
      </c>
      <c r="W59" s="56">
        <v>0.6</v>
      </c>
    </row>
    <row r="60" spans="1:23" ht="15.75" customHeight="1">
      <c r="A60" s="33"/>
      <c r="B60" s="300" t="s">
        <v>898</v>
      </c>
      <c r="C60" s="694">
        <v>6.25</v>
      </c>
      <c r="D60" s="682">
        <v>86</v>
      </c>
      <c r="E60" s="55"/>
      <c r="F60" s="55"/>
      <c r="G60" s="55"/>
      <c r="H60" s="55"/>
      <c r="I60" s="55">
        <v>1.38</v>
      </c>
      <c r="J60" s="56">
        <v>0.8</v>
      </c>
      <c r="K60" s="56">
        <v>0.5</v>
      </c>
      <c r="L60" s="53"/>
      <c r="M60" s="53"/>
      <c r="N60" s="300" t="s">
        <v>898</v>
      </c>
      <c r="O60" s="694">
        <v>6.25</v>
      </c>
      <c r="P60" s="682">
        <v>86</v>
      </c>
      <c r="Q60" s="55"/>
      <c r="R60" s="55"/>
      <c r="S60" s="55"/>
      <c r="T60" s="55"/>
      <c r="U60" s="55">
        <v>1.38</v>
      </c>
      <c r="V60" s="56">
        <v>0.8</v>
      </c>
      <c r="W60" s="56">
        <v>0.5</v>
      </c>
    </row>
    <row r="61" spans="1:23" ht="15.75" customHeight="1">
      <c r="A61" s="33"/>
      <c r="B61" s="300" t="s">
        <v>963</v>
      </c>
      <c r="C61" s="694">
        <v>6.25</v>
      </c>
      <c r="D61" s="682">
        <v>86</v>
      </c>
      <c r="E61" s="55"/>
      <c r="F61" s="55"/>
      <c r="G61" s="55"/>
      <c r="H61" s="55"/>
      <c r="I61" s="55">
        <v>1.6</v>
      </c>
      <c r="J61" s="56">
        <v>0.8</v>
      </c>
      <c r="K61" s="56">
        <v>0.6</v>
      </c>
      <c r="L61" s="53"/>
      <c r="M61" s="53"/>
      <c r="N61" s="300" t="s">
        <v>963</v>
      </c>
      <c r="O61" s="694">
        <v>6.25</v>
      </c>
      <c r="P61" s="682">
        <v>86</v>
      </c>
      <c r="Q61" s="55"/>
      <c r="R61" s="55"/>
      <c r="S61" s="55"/>
      <c r="T61" s="55"/>
      <c r="U61" s="55">
        <v>1.6</v>
      </c>
      <c r="V61" s="56">
        <v>0.8</v>
      </c>
      <c r="W61" s="56">
        <v>0.6</v>
      </c>
    </row>
    <row r="62" spans="1:23" ht="15.75" customHeight="1">
      <c r="A62" s="33"/>
      <c r="B62" s="300" t="s">
        <v>903</v>
      </c>
      <c r="C62" s="694">
        <v>6.25</v>
      </c>
      <c r="D62" s="682">
        <v>86</v>
      </c>
      <c r="E62" s="98"/>
      <c r="F62" s="55"/>
      <c r="G62" s="55"/>
      <c r="H62" s="55"/>
      <c r="I62" s="55">
        <v>4.0999999999999996</v>
      </c>
      <c r="J62" s="56">
        <v>1.2</v>
      </c>
      <c r="K62" s="56">
        <v>1.4</v>
      </c>
      <c r="L62" s="53"/>
      <c r="M62" s="25"/>
      <c r="N62" s="300" t="s">
        <v>903</v>
      </c>
      <c r="O62" s="694">
        <v>6.25</v>
      </c>
      <c r="P62" s="682">
        <v>86</v>
      </c>
      <c r="Q62" s="98"/>
      <c r="R62" s="55"/>
      <c r="S62" s="55"/>
      <c r="T62" s="55"/>
      <c r="U62" s="55">
        <v>4.0999999999999996</v>
      </c>
      <c r="V62" s="56">
        <v>1.2</v>
      </c>
      <c r="W62" s="56">
        <v>1.4</v>
      </c>
    </row>
    <row r="63" spans="1:23" ht="15.75" customHeight="1">
      <c r="A63" s="33"/>
      <c r="B63" s="300" t="s">
        <v>902</v>
      </c>
      <c r="C63" s="694">
        <v>6.25</v>
      </c>
      <c r="D63" s="682">
        <v>86</v>
      </c>
      <c r="E63" s="98"/>
      <c r="F63" s="55"/>
      <c r="G63" s="55"/>
      <c r="H63" s="55"/>
      <c r="I63" s="55">
        <v>3.6</v>
      </c>
      <c r="J63" s="56">
        <v>1.1000000000000001</v>
      </c>
      <c r="K63" s="56">
        <v>1.4</v>
      </c>
      <c r="L63" s="53"/>
      <c r="M63" s="25"/>
      <c r="N63" s="300" t="s">
        <v>902</v>
      </c>
      <c r="O63" s="694">
        <v>6.25</v>
      </c>
      <c r="P63" s="682">
        <v>86</v>
      </c>
      <c r="Q63" s="98"/>
      <c r="R63" s="55"/>
      <c r="S63" s="55"/>
      <c r="T63" s="55"/>
      <c r="U63" s="55">
        <v>3.6</v>
      </c>
      <c r="V63" s="56">
        <v>1.1000000000000001</v>
      </c>
      <c r="W63" s="56">
        <v>1.4</v>
      </c>
    </row>
    <row r="64" spans="1:23" ht="15.75" customHeight="1">
      <c r="A64" s="33"/>
      <c r="B64" s="300" t="s">
        <v>904</v>
      </c>
      <c r="C64" s="694">
        <v>6.25</v>
      </c>
      <c r="D64" s="682">
        <v>86</v>
      </c>
      <c r="E64" s="98"/>
      <c r="F64" s="55"/>
      <c r="G64" s="55"/>
      <c r="H64" s="55"/>
      <c r="I64" s="55">
        <v>4.4800000000000004</v>
      </c>
      <c r="J64" s="56">
        <v>1.02</v>
      </c>
      <c r="K64" s="56">
        <v>1.66</v>
      </c>
      <c r="L64" s="53"/>
      <c r="M64" s="25"/>
      <c r="N64" s="300" t="s">
        <v>904</v>
      </c>
      <c r="O64" s="694">
        <v>6.25</v>
      </c>
      <c r="P64" s="682">
        <v>86</v>
      </c>
      <c r="Q64" s="98"/>
      <c r="R64" s="55"/>
      <c r="S64" s="55"/>
      <c r="T64" s="55"/>
      <c r="U64" s="55">
        <v>4.4800000000000004</v>
      </c>
      <c r="V64" s="56">
        <v>1.02</v>
      </c>
      <c r="W64" s="56">
        <v>1.66</v>
      </c>
    </row>
    <row r="65" spans="1:23" ht="15.75" customHeight="1">
      <c r="A65" s="33"/>
      <c r="B65" s="300" t="s">
        <v>905</v>
      </c>
      <c r="C65" s="694">
        <v>6.25</v>
      </c>
      <c r="D65" s="682">
        <v>86</v>
      </c>
      <c r="E65" s="98"/>
      <c r="F65" s="55"/>
      <c r="G65" s="55"/>
      <c r="H65" s="55"/>
      <c r="I65" s="55">
        <v>4.4000000000000004</v>
      </c>
      <c r="J65" s="56">
        <v>1.5</v>
      </c>
      <c r="K65" s="56">
        <v>1.94</v>
      </c>
      <c r="L65" s="53"/>
      <c r="M65" s="25"/>
      <c r="N65" s="300" t="s">
        <v>905</v>
      </c>
      <c r="O65" s="694">
        <v>6.25</v>
      </c>
      <c r="P65" s="682">
        <v>86</v>
      </c>
      <c r="Q65" s="98"/>
      <c r="R65" s="55"/>
      <c r="S65" s="55"/>
      <c r="T65" s="55"/>
      <c r="U65" s="55">
        <v>4.4000000000000004</v>
      </c>
      <c r="V65" s="56">
        <v>1.5</v>
      </c>
      <c r="W65" s="56">
        <v>1.94</v>
      </c>
    </row>
    <row r="66" spans="1:23" ht="15.75" customHeight="1">
      <c r="A66" s="297"/>
      <c r="B66" s="105" t="s">
        <v>1037</v>
      </c>
      <c r="C66" s="560" t="s">
        <v>1088</v>
      </c>
      <c r="D66" s="683">
        <v>86</v>
      </c>
      <c r="E66" s="281"/>
      <c r="F66" s="281"/>
      <c r="G66" s="281"/>
      <c r="H66" s="281"/>
      <c r="I66" s="281">
        <v>0.5</v>
      </c>
      <c r="J66" s="281">
        <v>0.3</v>
      </c>
      <c r="K66" s="281">
        <v>1.4</v>
      </c>
      <c r="L66" s="294"/>
      <c r="M66" s="294"/>
      <c r="N66" s="105" t="s">
        <v>1037</v>
      </c>
      <c r="O66" s="694" t="s">
        <v>1088</v>
      </c>
      <c r="P66" s="683">
        <v>86</v>
      </c>
      <c r="Q66" s="281"/>
      <c r="R66" s="281"/>
      <c r="S66" s="281"/>
      <c r="T66" s="281"/>
      <c r="U66" s="281">
        <v>0.5</v>
      </c>
      <c r="V66" s="281">
        <v>0.3</v>
      </c>
      <c r="W66" s="281">
        <v>1.4</v>
      </c>
    </row>
    <row r="67" spans="1:23" ht="15.75" customHeight="1">
      <c r="A67" s="297"/>
      <c r="B67" s="105" t="s">
        <v>1036</v>
      </c>
      <c r="C67" s="560" t="s">
        <v>1088</v>
      </c>
      <c r="D67" s="683">
        <v>86</v>
      </c>
      <c r="E67" s="281"/>
      <c r="F67" s="281"/>
      <c r="G67" s="281"/>
      <c r="H67" s="281"/>
      <c r="I67" s="281">
        <v>0.5</v>
      </c>
      <c r="J67" s="281">
        <v>0.3</v>
      </c>
      <c r="K67" s="281">
        <v>1.7</v>
      </c>
      <c r="L67" s="294"/>
      <c r="M67" s="294"/>
      <c r="N67" s="105" t="s">
        <v>1036</v>
      </c>
      <c r="O67" s="694" t="s">
        <v>1088</v>
      </c>
      <c r="P67" s="683">
        <v>86</v>
      </c>
      <c r="Q67" s="281"/>
      <c r="R67" s="281"/>
      <c r="S67" s="281"/>
      <c r="T67" s="281"/>
      <c r="U67" s="281">
        <v>0.5</v>
      </c>
      <c r="V67" s="281">
        <v>0.3</v>
      </c>
      <c r="W67" s="281">
        <v>1.7</v>
      </c>
    </row>
    <row r="68" spans="1:23" ht="15.75" customHeight="1">
      <c r="A68" s="297"/>
      <c r="B68" s="105" t="s">
        <v>314</v>
      </c>
      <c r="C68" s="560" t="s">
        <v>1088</v>
      </c>
      <c r="D68" s="683">
        <v>86</v>
      </c>
      <c r="E68" s="281"/>
      <c r="F68" s="281"/>
      <c r="G68" s="281"/>
      <c r="H68" s="281"/>
      <c r="I68" s="281">
        <v>0.5</v>
      </c>
      <c r="J68" s="281">
        <v>0.3</v>
      </c>
      <c r="K68" s="281">
        <v>2</v>
      </c>
      <c r="L68" s="294"/>
      <c r="M68" s="294"/>
      <c r="N68" s="105" t="s">
        <v>314</v>
      </c>
      <c r="O68" s="694" t="s">
        <v>1088</v>
      </c>
      <c r="P68" s="683">
        <v>86</v>
      </c>
      <c r="Q68" s="281"/>
      <c r="R68" s="281"/>
      <c r="S68" s="281"/>
      <c r="T68" s="281"/>
      <c r="U68" s="281">
        <v>0.5</v>
      </c>
      <c r="V68" s="281">
        <v>0.3</v>
      </c>
      <c r="W68" s="281">
        <v>2</v>
      </c>
    </row>
    <row r="69" spans="1:23" ht="15.75" customHeight="1">
      <c r="A69" s="297"/>
      <c r="B69" s="105" t="s">
        <v>315</v>
      </c>
      <c r="C69" s="560" t="s">
        <v>1088</v>
      </c>
      <c r="D69" s="683">
        <v>86</v>
      </c>
      <c r="E69" s="281"/>
      <c r="F69" s="281"/>
      <c r="G69" s="281"/>
      <c r="H69" s="281"/>
      <c r="I69" s="281">
        <v>0.5</v>
      </c>
      <c r="J69" s="281">
        <v>0.3</v>
      </c>
      <c r="K69" s="281">
        <v>1.7</v>
      </c>
      <c r="L69" s="294"/>
      <c r="M69" s="294"/>
      <c r="N69" s="105" t="s">
        <v>315</v>
      </c>
      <c r="O69" s="694" t="s">
        <v>1088</v>
      </c>
      <c r="P69" s="683">
        <v>86</v>
      </c>
      <c r="Q69" s="281"/>
      <c r="R69" s="281"/>
      <c r="S69" s="281"/>
      <c r="T69" s="281"/>
      <c r="U69" s="281">
        <v>0.5</v>
      </c>
      <c r="V69" s="281">
        <v>0.3</v>
      </c>
      <c r="W69" s="281">
        <v>1.7</v>
      </c>
    </row>
    <row r="70" spans="1:23" ht="15.75" customHeight="1">
      <c r="A70" s="297"/>
      <c r="B70" s="105" t="s">
        <v>316</v>
      </c>
      <c r="C70" s="560" t="s">
        <v>1088</v>
      </c>
      <c r="D70" s="683">
        <v>86</v>
      </c>
      <c r="E70" s="281"/>
      <c r="F70" s="281"/>
      <c r="G70" s="281"/>
      <c r="H70" s="281"/>
      <c r="I70" s="281">
        <v>0.5</v>
      </c>
      <c r="J70" s="281">
        <v>0.3</v>
      </c>
      <c r="K70" s="281">
        <v>1.7</v>
      </c>
      <c r="L70" s="294"/>
      <c r="M70" s="294"/>
      <c r="N70" s="105" t="s">
        <v>316</v>
      </c>
      <c r="O70" s="694" t="s">
        <v>1088</v>
      </c>
      <c r="P70" s="683">
        <v>86</v>
      </c>
      <c r="Q70" s="281"/>
      <c r="R70" s="281"/>
      <c r="S70" s="281"/>
      <c r="T70" s="281"/>
      <c r="U70" s="281">
        <v>0.5</v>
      </c>
      <c r="V70" s="281">
        <v>0.3</v>
      </c>
      <c r="W70" s="281">
        <v>1.7</v>
      </c>
    </row>
    <row r="71" spans="1:23" ht="15.75" customHeight="1">
      <c r="A71" s="297"/>
      <c r="B71" s="105" t="s">
        <v>317</v>
      </c>
      <c r="C71" s="560" t="s">
        <v>1088</v>
      </c>
      <c r="D71" s="683">
        <v>86</v>
      </c>
      <c r="E71" s="281"/>
      <c r="F71" s="281"/>
      <c r="G71" s="281"/>
      <c r="H71" s="281"/>
      <c r="I71" s="281">
        <v>0.5</v>
      </c>
      <c r="J71" s="281">
        <v>0.3</v>
      </c>
      <c r="K71" s="281">
        <v>2</v>
      </c>
      <c r="L71" s="294"/>
      <c r="M71" s="294"/>
      <c r="N71" s="105" t="s">
        <v>317</v>
      </c>
      <c r="O71" s="694" t="s">
        <v>1088</v>
      </c>
      <c r="P71" s="683">
        <v>86</v>
      </c>
      <c r="Q71" s="281"/>
      <c r="R71" s="281"/>
      <c r="S71" s="281"/>
      <c r="T71" s="281"/>
      <c r="U71" s="281">
        <v>0.5</v>
      </c>
      <c r="V71" s="281">
        <v>0.3</v>
      </c>
      <c r="W71" s="281">
        <v>2</v>
      </c>
    </row>
    <row r="72" spans="1:23" ht="15.75" customHeight="1">
      <c r="A72" s="33"/>
      <c r="B72" s="91" t="s">
        <v>197</v>
      </c>
      <c r="C72" s="560" t="s">
        <v>1015</v>
      </c>
      <c r="D72" s="666">
        <v>0</v>
      </c>
      <c r="E72" s="69">
        <v>0</v>
      </c>
      <c r="F72" s="125">
        <v>0</v>
      </c>
      <c r="G72" s="125">
        <v>0</v>
      </c>
      <c r="H72" s="125">
        <v>0</v>
      </c>
      <c r="I72" s="23">
        <f t="shared" ref="I72" si="10">F72/10</f>
        <v>0</v>
      </c>
      <c r="J72" s="23">
        <f t="shared" ref="J72" si="11">G72/10</f>
        <v>0</v>
      </c>
      <c r="K72" s="23">
        <f t="shared" ref="K72" si="12">H72/10</f>
        <v>0</v>
      </c>
      <c r="L72" s="290"/>
      <c r="M72" s="25"/>
      <c r="N72" s="91" t="s">
        <v>197</v>
      </c>
      <c r="O72" s="694" t="s">
        <v>1015</v>
      </c>
      <c r="P72" s="699">
        <v>0</v>
      </c>
      <c r="Q72" s="694">
        <v>0</v>
      </c>
      <c r="R72" s="694">
        <v>0</v>
      </c>
      <c r="S72" s="694">
        <v>0</v>
      </c>
      <c r="T72" s="694">
        <v>0</v>
      </c>
      <c r="U72" s="23">
        <f t="shared" ref="U72:U75" si="13">R72/10</f>
        <v>0</v>
      </c>
      <c r="V72" s="23">
        <f t="shared" ref="V72:V75" si="14">S72/10</f>
        <v>0</v>
      </c>
      <c r="W72" s="23">
        <f t="shared" ref="W72:W75" si="15">T72/10</f>
        <v>0</v>
      </c>
    </row>
    <row r="73" spans="1:23" ht="15.75" customHeight="1">
      <c r="A73" s="33"/>
      <c r="B73" s="91" t="s">
        <v>198</v>
      </c>
      <c r="C73" s="560" t="s">
        <v>1015</v>
      </c>
      <c r="D73" s="666">
        <v>0</v>
      </c>
      <c r="E73" s="69">
        <v>0</v>
      </c>
      <c r="F73" s="125">
        <v>0</v>
      </c>
      <c r="G73" s="125">
        <v>0</v>
      </c>
      <c r="H73" s="125">
        <v>0</v>
      </c>
      <c r="I73" s="23">
        <f t="shared" ref="I73:I75" si="16">F73/10</f>
        <v>0</v>
      </c>
      <c r="J73" s="23">
        <f t="shared" ref="J73:J75" si="17">G73/10</f>
        <v>0</v>
      </c>
      <c r="K73" s="23">
        <f t="shared" ref="K73:K75" si="18">H73/10</f>
        <v>0</v>
      </c>
      <c r="L73" s="25"/>
      <c r="M73" s="25"/>
      <c r="N73" s="91" t="s">
        <v>198</v>
      </c>
      <c r="O73" s="694" t="s">
        <v>1015</v>
      </c>
      <c r="P73" s="699">
        <v>0</v>
      </c>
      <c r="Q73" s="694">
        <v>0</v>
      </c>
      <c r="R73" s="694">
        <v>0</v>
      </c>
      <c r="S73" s="694">
        <v>0</v>
      </c>
      <c r="T73" s="694">
        <v>0</v>
      </c>
      <c r="U73" s="23">
        <f t="shared" si="13"/>
        <v>0</v>
      </c>
      <c r="V73" s="23">
        <f t="shared" si="14"/>
        <v>0</v>
      </c>
      <c r="W73" s="23">
        <f t="shared" si="15"/>
        <v>0</v>
      </c>
    </row>
    <row r="74" spans="1:23" ht="15.75" customHeight="1">
      <c r="A74" s="33"/>
      <c r="B74" s="91" t="s">
        <v>128</v>
      </c>
      <c r="C74" s="560" t="s">
        <v>1015</v>
      </c>
      <c r="D74" s="666">
        <v>0</v>
      </c>
      <c r="E74" s="69">
        <v>0</v>
      </c>
      <c r="F74" s="69">
        <v>0</v>
      </c>
      <c r="G74" s="69">
        <v>0</v>
      </c>
      <c r="H74" s="69">
        <v>0</v>
      </c>
      <c r="I74" s="23">
        <f t="shared" si="16"/>
        <v>0</v>
      </c>
      <c r="J74" s="23">
        <f t="shared" si="17"/>
        <v>0</v>
      </c>
      <c r="K74" s="23">
        <f t="shared" si="18"/>
        <v>0</v>
      </c>
      <c r="L74" s="25"/>
      <c r="M74" s="25"/>
      <c r="N74" s="91" t="s">
        <v>128</v>
      </c>
      <c r="O74" s="694" t="s">
        <v>1015</v>
      </c>
      <c r="P74" s="699">
        <v>0</v>
      </c>
      <c r="Q74" s="694">
        <v>0</v>
      </c>
      <c r="R74" s="694">
        <v>0</v>
      </c>
      <c r="S74" s="694">
        <v>0</v>
      </c>
      <c r="T74" s="694">
        <v>0</v>
      </c>
      <c r="U74" s="23">
        <f t="shared" si="13"/>
        <v>0</v>
      </c>
      <c r="V74" s="23">
        <f t="shared" si="14"/>
        <v>0</v>
      </c>
      <c r="W74" s="23">
        <f t="shared" si="15"/>
        <v>0</v>
      </c>
    </row>
    <row r="75" spans="1:23" ht="15.75" customHeight="1">
      <c r="A75" s="33"/>
      <c r="B75" s="91" t="s">
        <v>129</v>
      </c>
      <c r="C75" s="560" t="s">
        <v>1015</v>
      </c>
      <c r="D75" s="666">
        <v>0</v>
      </c>
      <c r="E75" s="69">
        <v>0</v>
      </c>
      <c r="F75" s="69">
        <v>0</v>
      </c>
      <c r="G75" s="69">
        <v>0</v>
      </c>
      <c r="H75" s="69">
        <v>0</v>
      </c>
      <c r="I75" s="23">
        <f t="shared" si="16"/>
        <v>0</v>
      </c>
      <c r="J75" s="23">
        <f t="shared" si="17"/>
        <v>0</v>
      </c>
      <c r="K75" s="23">
        <f t="shared" si="18"/>
        <v>0</v>
      </c>
      <c r="L75" s="25"/>
      <c r="M75" s="25"/>
      <c r="N75" s="91" t="s">
        <v>129</v>
      </c>
      <c r="O75" s="694" t="s">
        <v>1015</v>
      </c>
      <c r="P75" s="699">
        <v>0</v>
      </c>
      <c r="Q75" s="694">
        <v>0</v>
      </c>
      <c r="R75" s="694">
        <v>0</v>
      </c>
      <c r="S75" s="694">
        <v>0</v>
      </c>
      <c r="T75" s="694">
        <v>0</v>
      </c>
      <c r="U75" s="23">
        <f t="shared" si="13"/>
        <v>0</v>
      </c>
      <c r="V75" s="23">
        <f t="shared" si="14"/>
        <v>0</v>
      </c>
      <c r="W75" s="23">
        <f t="shared" si="15"/>
        <v>0</v>
      </c>
    </row>
    <row r="76" spans="1:23" ht="15.75" customHeight="1">
      <c r="A76" s="33"/>
      <c r="I76" s="282"/>
      <c r="J76" s="282"/>
      <c r="K76" s="25"/>
      <c r="L76" s="25"/>
      <c r="M76" s="25"/>
      <c r="U76" s="392"/>
      <c r="V76" s="392"/>
      <c r="W76" s="517"/>
    </row>
    <row r="77" spans="1:23" ht="15.75" customHeight="1">
      <c r="A77" s="33"/>
      <c r="G77" s="33"/>
      <c r="H77" s="282"/>
      <c r="I77" s="282"/>
      <c r="J77" s="282"/>
      <c r="K77" s="25"/>
      <c r="L77" s="290"/>
      <c r="M77" s="290"/>
      <c r="S77" s="392"/>
      <c r="T77" s="392"/>
      <c r="U77" s="392"/>
      <c r="V77" s="392"/>
      <c r="W77" s="517"/>
    </row>
    <row r="78" spans="1:23" ht="15.75" customHeight="1">
      <c r="A78" s="33"/>
      <c r="B78" s="89" t="s">
        <v>750</v>
      </c>
      <c r="F78" s="1561" t="s">
        <v>126</v>
      </c>
      <c r="G78" s="33"/>
      <c r="H78" s="282"/>
      <c r="I78" s="282"/>
      <c r="J78" s="282"/>
      <c r="K78" s="25"/>
      <c r="L78" s="25"/>
      <c r="M78" s="25"/>
      <c r="N78" s="89" t="s">
        <v>92</v>
      </c>
      <c r="R78" s="1561" t="s">
        <v>126</v>
      </c>
      <c r="S78" s="392"/>
      <c r="T78" s="392"/>
      <c r="U78" s="392"/>
      <c r="V78" s="392"/>
      <c r="W78" s="517"/>
    </row>
    <row r="79" spans="1:23" ht="15.75" customHeight="1">
      <c r="A79" s="33"/>
      <c r="B79" s="73" t="s">
        <v>134</v>
      </c>
      <c r="C79" s="1579" t="s">
        <v>132</v>
      </c>
      <c r="D79" s="1579"/>
      <c r="E79" s="1609"/>
      <c r="F79" s="1561"/>
      <c r="G79" s="33"/>
      <c r="H79" s="282"/>
      <c r="I79" s="282"/>
      <c r="J79" s="282"/>
      <c r="K79" s="25"/>
      <c r="L79" s="25"/>
      <c r="M79" s="25"/>
      <c r="N79" s="73" t="s">
        <v>134</v>
      </c>
      <c r="O79" s="1579" t="s">
        <v>132</v>
      </c>
      <c r="P79" s="1579"/>
      <c r="Q79" s="1609"/>
      <c r="R79" s="1561"/>
      <c r="S79" s="392"/>
      <c r="T79" s="392"/>
      <c r="U79" s="392"/>
      <c r="V79" s="392"/>
      <c r="W79" s="517"/>
    </row>
    <row r="80" spans="1:23" ht="15.75" customHeight="1">
      <c r="A80" s="33"/>
      <c r="B80" s="91"/>
      <c r="C80" s="73" t="s">
        <v>16</v>
      </c>
      <c r="D80" s="73" t="s">
        <v>36</v>
      </c>
      <c r="E80" s="507" t="s">
        <v>37</v>
      </c>
      <c r="F80" s="73" t="s">
        <v>430</v>
      </c>
      <c r="G80" s="33"/>
      <c r="H80" s="282"/>
      <c r="I80" s="282"/>
      <c r="J80" s="282"/>
      <c r="K80" s="25"/>
      <c r="L80" s="25"/>
      <c r="M80" s="25"/>
      <c r="N80" s="91"/>
      <c r="O80" s="73" t="s">
        <v>16</v>
      </c>
      <c r="P80" s="511" t="s">
        <v>36</v>
      </c>
      <c r="Q80" s="511" t="s">
        <v>37</v>
      </c>
      <c r="R80" s="73" t="s">
        <v>430</v>
      </c>
      <c r="S80" s="392"/>
      <c r="T80" s="392"/>
      <c r="U80" s="392"/>
      <c r="V80" s="392"/>
      <c r="W80" s="517"/>
    </row>
    <row r="81" spans="1:23" ht="15.75" customHeight="1">
      <c r="A81" s="33"/>
      <c r="B81" s="91" t="s">
        <v>163</v>
      </c>
      <c r="C81" s="561">
        <v>0</v>
      </c>
      <c r="D81" s="666">
        <v>0</v>
      </c>
      <c r="E81" s="38">
        <v>0</v>
      </c>
      <c r="F81" s="38">
        <v>0</v>
      </c>
      <c r="G81" s="33"/>
      <c r="H81" s="282"/>
      <c r="I81" s="282"/>
      <c r="J81" s="282"/>
      <c r="K81" s="25"/>
      <c r="L81" s="25"/>
      <c r="M81" s="25"/>
      <c r="N81" s="91" t="s">
        <v>163</v>
      </c>
      <c r="O81" s="522">
        <v>0</v>
      </c>
      <c r="P81" s="522">
        <v>0</v>
      </c>
      <c r="Q81" s="522">
        <v>0</v>
      </c>
      <c r="R81" s="522">
        <v>0</v>
      </c>
      <c r="S81" s="392"/>
      <c r="T81" s="392"/>
      <c r="U81" s="392"/>
      <c r="V81" s="392"/>
      <c r="W81" s="517"/>
    </row>
    <row r="82" spans="1:23" ht="15.75" customHeight="1">
      <c r="A82" s="33"/>
      <c r="B82" s="91" t="s">
        <v>111</v>
      </c>
      <c r="C82" s="561">
        <v>1.8</v>
      </c>
      <c r="D82" s="666">
        <v>0.8</v>
      </c>
      <c r="E82" s="38">
        <v>0.6</v>
      </c>
      <c r="F82" s="38">
        <v>1.8</v>
      </c>
      <c r="G82" s="33"/>
      <c r="H82" s="282"/>
      <c r="I82" s="282"/>
      <c r="J82" s="282"/>
      <c r="K82" s="25"/>
      <c r="L82" s="25"/>
      <c r="M82" s="25"/>
      <c r="N82" s="91" t="s">
        <v>111</v>
      </c>
      <c r="O82" s="522">
        <v>1.8</v>
      </c>
      <c r="P82" s="522">
        <v>0.8</v>
      </c>
      <c r="Q82" s="522">
        <v>0.6</v>
      </c>
      <c r="R82" s="522">
        <v>1.8</v>
      </c>
      <c r="S82" s="392"/>
      <c r="T82" s="392"/>
      <c r="U82" s="392"/>
      <c r="V82" s="392"/>
      <c r="W82" s="517"/>
    </row>
    <row r="83" spans="1:23" ht="15.75" customHeight="1">
      <c r="A83" s="33"/>
      <c r="B83" s="91" t="s">
        <v>124</v>
      </c>
      <c r="C83" s="561">
        <v>1.4</v>
      </c>
      <c r="D83" s="666">
        <v>0.8</v>
      </c>
      <c r="E83" s="38">
        <v>0.5</v>
      </c>
      <c r="F83" s="38">
        <v>0.3</v>
      </c>
      <c r="G83" s="33"/>
      <c r="H83" s="282"/>
      <c r="I83" s="282"/>
      <c r="J83" s="282"/>
      <c r="K83" s="25"/>
      <c r="L83" s="25"/>
      <c r="M83" s="25"/>
      <c r="N83" s="91" t="s">
        <v>124</v>
      </c>
      <c r="O83" s="522">
        <v>1.4</v>
      </c>
      <c r="P83" s="522">
        <v>0.8</v>
      </c>
      <c r="Q83" s="522">
        <v>0.5</v>
      </c>
      <c r="R83" s="522">
        <v>0.3</v>
      </c>
      <c r="S83" s="392"/>
      <c r="T83" s="392"/>
      <c r="U83" s="392"/>
      <c r="V83" s="392"/>
      <c r="W83" s="517"/>
    </row>
    <row r="84" spans="1:23" ht="15.75" customHeight="1">
      <c r="A84" s="33"/>
      <c r="B84" s="91" t="s">
        <v>90</v>
      </c>
      <c r="C84" s="561">
        <v>4.0999999999999996</v>
      </c>
      <c r="D84" s="666">
        <v>1.2</v>
      </c>
      <c r="E84" s="38">
        <v>1.4</v>
      </c>
      <c r="F84" s="38">
        <v>1.8</v>
      </c>
      <c r="G84" s="33"/>
      <c r="H84" s="282"/>
      <c r="I84" s="282"/>
      <c r="J84" s="282"/>
      <c r="K84" s="25"/>
      <c r="L84" s="25"/>
      <c r="M84" s="25"/>
      <c r="N84" s="91" t="s">
        <v>90</v>
      </c>
      <c r="O84" s="522">
        <v>4.0999999999999996</v>
      </c>
      <c r="P84" s="522">
        <v>1.2</v>
      </c>
      <c r="Q84" s="522">
        <v>1.4</v>
      </c>
      <c r="R84" s="522">
        <v>1.8</v>
      </c>
      <c r="S84" s="392"/>
      <c r="T84" s="392"/>
      <c r="U84" s="392"/>
      <c r="V84" s="392"/>
      <c r="W84" s="517"/>
    </row>
    <row r="85" spans="1:23" ht="15.75" customHeight="1">
      <c r="A85" s="33"/>
      <c r="B85" s="91" t="s">
        <v>109</v>
      </c>
      <c r="C85" s="561">
        <v>3.6</v>
      </c>
      <c r="D85" s="666">
        <v>1.1000000000000001</v>
      </c>
      <c r="E85" s="38">
        <v>1.4</v>
      </c>
      <c r="F85" s="38">
        <v>1.6</v>
      </c>
      <c r="G85" s="33"/>
      <c r="H85" s="282"/>
      <c r="I85" s="282"/>
      <c r="J85" s="282"/>
      <c r="K85" s="290"/>
      <c r="L85" s="25"/>
      <c r="M85" s="25"/>
      <c r="N85" s="91" t="s">
        <v>109</v>
      </c>
      <c r="O85" s="522">
        <v>3.6</v>
      </c>
      <c r="P85" s="522">
        <v>1.1000000000000001</v>
      </c>
      <c r="Q85" s="522">
        <v>1.4</v>
      </c>
      <c r="R85" s="522">
        <v>1.6</v>
      </c>
      <c r="S85" s="392"/>
      <c r="T85" s="392"/>
      <c r="U85" s="392"/>
      <c r="V85" s="392"/>
      <c r="W85" s="290"/>
    </row>
    <row r="86" spans="1:23" ht="15.75" customHeight="1">
      <c r="A86" s="33"/>
      <c r="B86" s="91" t="s">
        <v>125</v>
      </c>
      <c r="C86" s="561">
        <v>4.4000000000000004</v>
      </c>
      <c r="D86" s="666">
        <v>1.5</v>
      </c>
      <c r="E86" s="38">
        <v>1.94</v>
      </c>
      <c r="F86" s="38">
        <v>1</v>
      </c>
      <c r="G86" s="33"/>
      <c r="H86" s="282"/>
      <c r="I86" s="282"/>
      <c r="J86" s="282"/>
      <c r="K86" s="25"/>
      <c r="L86" s="25"/>
      <c r="M86" s="25"/>
      <c r="N86" s="91" t="s">
        <v>125</v>
      </c>
      <c r="O86" s="522">
        <v>4.4000000000000004</v>
      </c>
      <c r="P86" s="522">
        <v>1.5</v>
      </c>
      <c r="Q86" s="522">
        <v>1.94</v>
      </c>
      <c r="R86" s="522">
        <v>1</v>
      </c>
      <c r="S86" s="392"/>
      <c r="T86" s="392"/>
      <c r="U86" s="392"/>
      <c r="V86" s="392"/>
      <c r="W86" s="517"/>
    </row>
    <row r="87" spans="1:23" ht="15.75" customHeight="1">
      <c r="A87" s="883"/>
      <c r="B87" s="91" t="s">
        <v>1163</v>
      </c>
      <c r="C87" s="884">
        <v>4.4800000000000004</v>
      </c>
      <c r="D87" s="884">
        <v>1.02</v>
      </c>
      <c r="E87" s="884">
        <v>1.66</v>
      </c>
      <c r="F87" s="884"/>
      <c r="G87" s="883"/>
      <c r="H87" s="883"/>
      <c r="I87" s="883"/>
      <c r="J87" s="883"/>
      <c r="K87" s="517"/>
      <c r="L87" s="517"/>
      <c r="M87" s="517"/>
      <c r="N87" s="91" t="s">
        <v>1163</v>
      </c>
      <c r="O87" s="884">
        <v>4.4800000000000004</v>
      </c>
      <c r="P87" s="884">
        <v>1.02</v>
      </c>
      <c r="Q87" s="884">
        <v>1.66</v>
      </c>
      <c r="R87" s="884"/>
      <c r="S87" s="883"/>
      <c r="T87" s="883"/>
      <c r="U87" s="883"/>
      <c r="V87" s="883"/>
      <c r="W87" s="517"/>
    </row>
    <row r="88" spans="1:23" ht="15.75" customHeight="1">
      <c r="A88" s="33"/>
      <c r="B88" s="91" t="s">
        <v>112</v>
      </c>
      <c r="C88" s="561">
        <v>0.35</v>
      </c>
      <c r="D88" s="666">
        <v>0.14000000000000001</v>
      </c>
      <c r="E88" s="38">
        <v>0.6</v>
      </c>
      <c r="F88" s="38">
        <v>25</v>
      </c>
      <c r="G88" s="33"/>
      <c r="H88" s="282"/>
      <c r="K88" s="25"/>
      <c r="L88" s="25"/>
      <c r="M88" s="25"/>
      <c r="N88" s="91" t="s">
        <v>112</v>
      </c>
      <c r="O88" s="522">
        <v>0.35</v>
      </c>
      <c r="P88" s="522">
        <v>0.14000000000000001</v>
      </c>
      <c r="Q88" s="522">
        <v>0.6</v>
      </c>
      <c r="R88" s="522">
        <v>25</v>
      </c>
      <c r="S88" s="392"/>
      <c r="T88" s="392"/>
      <c r="W88" s="517"/>
    </row>
    <row r="89" spans="1:23" ht="15.75" customHeight="1">
      <c r="A89" s="33"/>
      <c r="B89" s="33"/>
      <c r="C89" s="392"/>
      <c r="D89" s="680"/>
      <c r="E89" s="33"/>
      <c r="F89" s="33"/>
      <c r="G89" s="33"/>
      <c r="H89" s="282"/>
      <c r="K89" s="25"/>
      <c r="L89" s="25"/>
      <c r="M89" s="25"/>
      <c r="N89" s="392"/>
      <c r="O89" s="392"/>
      <c r="P89" s="392"/>
      <c r="Q89" s="392"/>
      <c r="R89" s="392"/>
      <c r="S89" s="392"/>
      <c r="T89" s="392"/>
      <c r="W89" s="517"/>
    </row>
    <row r="90" spans="1:23" ht="15.75" customHeight="1">
      <c r="A90" s="33"/>
      <c r="F90" s="33"/>
      <c r="G90" s="33"/>
      <c r="H90" s="282"/>
      <c r="K90" s="25"/>
      <c r="L90" s="25"/>
      <c r="M90" s="25"/>
      <c r="R90" s="392"/>
      <c r="S90" s="392"/>
      <c r="T90" s="392"/>
      <c r="W90" s="517"/>
    </row>
    <row r="91" spans="1:23" ht="15.75" customHeight="1">
      <c r="A91" s="33"/>
      <c r="G91" s="33"/>
      <c r="H91" s="282"/>
      <c r="K91" s="25"/>
      <c r="L91" s="25"/>
      <c r="M91" s="25"/>
      <c r="S91" s="392"/>
      <c r="T91" s="392"/>
      <c r="W91" s="517"/>
    </row>
    <row r="92" spans="1:23" ht="15.75" customHeight="1">
      <c r="A92" s="33"/>
      <c r="G92" s="33"/>
      <c r="H92" s="282"/>
      <c r="K92" s="25"/>
      <c r="L92" s="25"/>
      <c r="M92" s="25"/>
      <c r="S92" s="392"/>
      <c r="T92" s="392"/>
      <c r="W92" s="517"/>
    </row>
    <row r="93" spans="1:23" ht="15.75" customHeight="1">
      <c r="A93" s="33"/>
      <c r="G93" s="33"/>
      <c r="H93" s="282"/>
      <c r="K93" s="25"/>
      <c r="L93" s="25"/>
      <c r="M93" s="25"/>
      <c r="S93" s="392"/>
      <c r="T93" s="392"/>
      <c r="W93" s="517"/>
    </row>
    <row r="94" spans="1:23" ht="15.75" customHeight="1">
      <c r="A94" s="33"/>
      <c r="G94" s="33"/>
      <c r="H94" s="282"/>
      <c r="I94" s="282"/>
      <c r="J94" s="282"/>
      <c r="K94" s="25"/>
      <c r="L94" s="25"/>
      <c r="M94" s="25"/>
      <c r="S94" s="392"/>
      <c r="T94" s="392"/>
      <c r="U94" s="392"/>
      <c r="V94" s="392"/>
      <c r="W94" s="517"/>
    </row>
    <row r="95" spans="1:23" ht="15.75" customHeight="1">
      <c r="A95" s="33"/>
      <c r="B95" s="121"/>
      <c r="C95" s="122"/>
      <c r="D95" s="684"/>
      <c r="E95" s="122"/>
      <c r="G95" s="33"/>
      <c r="H95" s="282"/>
      <c r="I95" s="282"/>
      <c r="J95" s="282"/>
      <c r="K95" s="25"/>
      <c r="L95" s="25"/>
      <c r="M95" s="25"/>
      <c r="N95" s="121"/>
      <c r="O95" s="122"/>
      <c r="P95" s="122"/>
      <c r="Q95" s="122"/>
      <c r="S95" s="392"/>
      <c r="T95" s="392"/>
      <c r="U95" s="392"/>
      <c r="V95" s="392"/>
      <c r="W95" s="517"/>
    </row>
    <row r="96" spans="1:23" ht="15.75" customHeight="1">
      <c r="A96" s="33"/>
      <c r="B96" s="1"/>
      <c r="C96" s="294"/>
      <c r="D96" s="685"/>
      <c r="E96" s="1"/>
      <c r="G96" s="33"/>
      <c r="H96" s="282"/>
      <c r="K96" s="25"/>
      <c r="L96" s="25"/>
      <c r="M96" s="25"/>
      <c r="N96" s="1"/>
      <c r="O96" s="1"/>
      <c r="P96" s="1"/>
      <c r="Q96" s="1"/>
      <c r="S96" s="392"/>
      <c r="T96" s="392"/>
      <c r="W96" s="517"/>
    </row>
    <row r="97" spans="1:23" ht="15.75" customHeight="1">
      <c r="A97" s="33"/>
      <c r="B97" s="121"/>
      <c r="C97" s="122"/>
      <c r="D97" s="684"/>
      <c r="E97" s="122"/>
      <c r="K97" s="25"/>
      <c r="L97" s="25"/>
      <c r="M97" s="25"/>
      <c r="N97" s="121"/>
      <c r="O97" s="122"/>
      <c r="P97" s="122"/>
      <c r="Q97" s="122"/>
      <c r="W97" s="517"/>
    </row>
    <row r="98" spans="1:23" ht="15.75" customHeight="1">
      <c r="A98" s="33"/>
      <c r="B98" s="121"/>
      <c r="C98" s="122"/>
      <c r="D98" s="684"/>
      <c r="E98" s="122"/>
      <c r="K98" s="25"/>
      <c r="L98" s="25"/>
      <c r="M98" s="25"/>
      <c r="N98" s="121"/>
      <c r="O98" s="122"/>
      <c r="P98" s="122"/>
      <c r="Q98" s="122"/>
      <c r="W98" s="517"/>
    </row>
    <row r="99" spans="1:23" ht="15.75" customHeight="1">
      <c r="A99" s="33"/>
      <c r="B99" s="123"/>
      <c r="C99" s="122"/>
      <c r="D99" s="684"/>
      <c r="E99" s="122"/>
      <c r="K99" s="25"/>
      <c r="L99" s="25"/>
      <c r="M99" s="25"/>
      <c r="N99" s="123"/>
      <c r="O99" s="122"/>
      <c r="P99" s="122"/>
      <c r="Q99" s="122"/>
      <c r="W99" s="517"/>
    </row>
    <row r="100" spans="1:23" ht="15.75" customHeight="1">
      <c r="A100" s="33"/>
      <c r="K100" s="25"/>
      <c r="L100" s="25"/>
      <c r="M100" s="25"/>
      <c r="W100" s="517"/>
    </row>
    <row r="101" spans="1:23" ht="15.75" customHeight="1">
      <c r="A101" s="33"/>
      <c r="K101" s="25"/>
      <c r="L101" s="25"/>
      <c r="M101" s="25"/>
      <c r="W101" s="517"/>
    </row>
    <row r="102" spans="1:23" ht="15.75" customHeight="1">
      <c r="A102" s="33"/>
      <c r="K102" s="25"/>
      <c r="L102" s="25"/>
      <c r="M102" s="25"/>
      <c r="W102" s="517"/>
    </row>
    <row r="103" spans="1:23" ht="15.75" customHeight="1">
      <c r="A103" s="33"/>
      <c r="G103" s="33"/>
      <c r="H103" s="282"/>
      <c r="K103" s="25"/>
      <c r="L103" s="25"/>
      <c r="M103" s="25"/>
      <c r="S103" s="392"/>
      <c r="T103" s="392"/>
      <c r="W103" s="517"/>
    </row>
    <row r="104" spans="1:23" ht="15.75" customHeight="1">
      <c r="A104" s="33"/>
      <c r="G104" s="33"/>
      <c r="H104" s="282"/>
      <c r="K104" s="25"/>
      <c r="L104" s="25"/>
      <c r="M104" s="25"/>
      <c r="S104" s="392"/>
      <c r="T104" s="392"/>
      <c r="W104" s="517"/>
    </row>
    <row r="105" spans="1:23" ht="15.75" customHeight="1">
      <c r="A105" s="33"/>
      <c r="K105" s="25"/>
      <c r="L105" s="25"/>
      <c r="M105" s="25"/>
      <c r="W105" s="517"/>
    </row>
    <row r="106" spans="1:23" ht="15.75" customHeight="1">
      <c r="A106" s="33"/>
      <c r="K106" s="25"/>
      <c r="L106" s="25"/>
      <c r="M106" s="25"/>
      <c r="W106" s="517"/>
    </row>
    <row r="107" spans="1:23" ht="15.75" customHeight="1">
      <c r="A107" s="33"/>
      <c r="K107" s="25"/>
      <c r="L107" s="25"/>
      <c r="M107" s="25"/>
      <c r="W107" s="517"/>
    </row>
    <row r="108" spans="1:23" ht="15.75" customHeight="1">
      <c r="A108" s="33"/>
      <c r="K108" s="25"/>
      <c r="L108" s="25"/>
      <c r="M108" s="25"/>
      <c r="W108" s="517"/>
    </row>
    <row r="109" spans="1:23" ht="15.75" customHeight="1">
      <c r="A109" s="33"/>
      <c r="K109" s="25"/>
      <c r="L109" s="25"/>
      <c r="M109" s="25"/>
      <c r="W109" s="517"/>
    </row>
    <row r="110" spans="1:23" ht="15.75" customHeight="1">
      <c r="A110" s="33"/>
      <c r="K110" s="25"/>
      <c r="L110" s="25"/>
      <c r="M110" s="25"/>
      <c r="W110" s="517"/>
    </row>
    <row r="111" spans="1:23" ht="15.75" customHeight="1">
      <c r="A111" s="33"/>
      <c r="K111" s="25"/>
      <c r="W111" s="517"/>
    </row>
    <row r="112" spans="1:23" ht="15.75" customHeight="1">
      <c r="A112" s="33"/>
      <c r="K112" s="25"/>
      <c r="L112" s="282"/>
      <c r="M112" s="282"/>
      <c r="W112" s="517"/>
    </row>
    <row r="113" spans="1:23" ht="15.75" customHeight="1">
      <c r="A113" s="33"/>
      <c r="K113" s="25"/>
      <c r="L113" s="282"/>
      <c r="M113" s="282"/>
      <c r="W113" s="517"/>
    </row>
    <row r="114" spans="1:23" ht="15.75" customHeight="1">
      <c r="A114" s="33"/>
      <c r="F114" s="111"/>
      <c r="K114" s="25"/>
      <c r="L114" s="282"/>
      <c r="M114" s="282"/>
      <c r="R114" s="520"/>
      <c r="W114" s="517"/>
    </row>
    <row r="115" spans="1:23" ht="15.75">
      <c r="A115" s="33"/>
      <c r="F115" s="111"/>
      <c r="K115" s="25"/>
      <c r="L115" s="282"/>
      <c r="M115" s="282"/>
      <c r="R115" s="520"/>
      <c r="W115" s="517"/>
    </row>
    <row r="116" spans="1:23" ht="15.75">
      <c r="A116" s="33"/>
      <c r="F116" s="111"/>
      <c r="K116" s="25"/>
      <c r="L116" s="282"/>
      <c r="M116" s="282"/>
      <c r="R116" s="520"/>
      <c r="W116" s="517"/>
    </row>
    <row r="117" spans="1:23" ht="15.75">
      <c r="A117" s="33"/>
      <c r="F117" s="111"/>
      <c r="K117" s="25"/>
      <c r="L117" s="282"/>
      <c r="M117" s="282"/>
      <c r="R117" s="520"/>
      <c r="W117" s="517"/>
    </row>
    <row r="118" spans="1:23" ht="15.75">
      <c r="A118" s="33"/>
      <c r="K118" s="25"/>
      <c r="L118" s="282"/>
      <c r="M118" s="282"/>
      <c r="W118" s="517"/>
    </row>
    <row r="119" spans="1:23" ht="15.75">
      <c r="A119" s="33"/>
      <c r="L119" s="282"/>
      <c r="M119" s="282"/>
    </row>
    <row r="120" spans="1:23" ht="15.75">
      <c r="A120" s="33"/>
      <c r="K120" s="282"/>
      <c r="L120" s="282"/>
      <c r="M120" s="282"/>
      <c r="W120" s="392"/>
    </row>
    <row r="121" spans="1:23" ht="15.75">
      <c r="A121" s="33"/>
      <c r="K121" s="282"/>
      <c r="L121" s="282"/>
      <c r="M121" s="282"/>
      <c r="W121" s="392"/>
    </row>
    <row r="122" spans="1:23" ht="15.75">
      <c r="A122" s="33"/>
      <c r="K122" s="282"/>
      <c r="L122" s="282"/>
      <c r="M122" s="282"/>
      <c r="W122" s="392"/>
    </row>
    <row r="123" spans="1:23" ht="15.75">
      <c r="A123" s="33"/>
      <c r="K123" s="282"/>
      <c r="L123" s="282"/>
      <c r="M123" s="282"/>
      <c r="W123" s="392"/>
    </row>
    <row r="124" spans="1:23" ht="15.75">
      <c r="K124" s="282"/>
      <c r="L124" s="282"/>
      <c r="M124" s="282"/>
      <c r="N124" s="282"/>
    </row>
    <row r="125" spans="1:23" ht="15.75">
      <c r="K125" s="282"/>
      <c r="L125" s="282"/>
      <c r="M125" s="282"/>
      <c r="N125" s="282"/>
    </row>
    <row r="126" spans="1:23" ht="15.75">
      <c r="K126" s="282"/>
      <c r="L126" s="282"/>
      <c r="M126" s="282"/>
      <c r="N126" s="282"/>
    </row>
    <row r="127" spans="1:23" ht="15.75">
      <c r="K127" s="282"/>
      <c r="L127" s="282"/>
      <c r="M127" s="282"/>
      <c r="N127" s="282"/>
    </row>
    <row r="128" spans="1:23" ht="15.75">
      <c r="K128" s="282"/>
      <c r="L128" s="282"/>
      <c r="M128" s="282"/>
      <c r="N128" s="282"/>
    </row>
    <row r="129" spans="2:14" ht="15.75">
      <c r="K129" s="282"/>
      <c r="L129" s="282"/>
      <c r="M129" s="282"/>
      <c r="N129" s="282"/>
    </row>
    <row r="130" spans="2:14" ht="15.75">
      <c r="K130" s="282"/>
      <c r="L130" s="282"/>
      <c r="M130" s="282"/>
      <c r="N130" s="282"/>
    </row>
    <row r="131" spans="2:14" ht="15.75">
      <c r="K131" s="282"/>
    </row>
    <row r="132" spans="2:14" ht="15.75">
      <c r="K132" s="282"/>
    </row>
    <row r="133" spans="2:14" ht="15.75">
      <c r="K133" s="282"/>
    </row>
    <row r="134" spans="2:14" ht="15.75">
      <c r="K134" s="282"/>
    </row>
    <row r="135" spans="2:14" ht="15.75">
      <c r="K135" s="282"/>
    </row>
    <row r="136" spans="2:14" ht="15.75">
      <c r="K136" s="282"/>
    </row>
    <row r="137" spans="2:14" ht="15.75">
      <c r="K137" s="282"/>
      <c r="L137" s="282"/>
      <c r="M137" s="282"/>
      <c r="N137" s="282"/>
    </row>
    <row r="138" spans="2:14" ht="15.75">
      <c r="B138" s="1"/>
      <c r="C138" s="294"/>
      <c r="D138" s="685"/>
      <c r="E138" s="1"/>
      <c r="K138" s="282"/>
      <c r="L138" s="282"/>
      <c r="M138" s="282"/>
      <c r="N138" s="282"/>
    </row>
    <row r="139" spans="2:14" ht="15.75">
      <c r="B139" s="120"/>
      <c r="C139" s="517"/>
      <c r="D139" s="686"/>
      <c r="E139" s="25"/>
    </row>
    <row r="145" spans="11:11" ht="15.75">
      <c r="K145" s="282"/>
    </row>
    <row r="146" spans="11:11" ht="15.75">
      <c r="K146" s="282"/>
    </row>
  </sheetData>
  <mergeCells count="11">
    <mergeCell ref="B1:F2"/>
    <mergeCell ref="C79:E79"/>
    <mergeCell ref="F5:H5"/>
    <mergeCell ref="I5:K5"/>
    <mergeCell ref="F4:K4"/>
    <mergeCell ref="F78:F79"/>
    <mergeCell ref="R4:W4"/>
    <mergeCell ref="R5:T5"/>
    <mergeCell ref="U5:W5"/>
    <mergeCell ref="R78:R79"/>
    <mergeCell ref="O79:Q79"/>
  </mergeCells>
  <pageMargins left="0.7" right="0.7" top="0.78740157499999996" bottom="0.78740157499999996" header="0.3" footer="0.3"/>
  <pageSetup paperSize="8" scale="3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tabColor theme="0"/>
    <pageSetUpPr fitToPage="1"/>
  </sheetPr>
  <dimension ref="A1:Q29"/>
  <sheetViews>
    <sheetView zoomScale="90" zoomScaleNormal="90" workbookViewId="0">
      <selection activeCell="B35" sqref="B35"/>
    </sheetView>
  </sheetViews>
  <sheetFormatPr baseColWidth="10" defaultRowHeight="15"/>
  <cols>
    <col min="1" max="1" width="17.140625" customWidth="1"/>
    <col min="2" max="2" width="43" bestFit="1" customWidth="1"/>
    <col min="3" max="3" width="14" customWidth="1"/>
    <col min="4" max="4" width="11.85546875" customWidth="1"/>
    <col min="5" max="5" width="10.42578125" customWidth="1"/>
    <col min="6" max="6" width="12.5703125" customWidth="1"/>
    <col min="7" max="7" width="13" customWidth="1"/>
    <col min="8" max="8" width="15.5703125" customWidth="1"/>
    <col min="10" max="10" width="42.5703125" bestFit="1" customWidth="1"/>
    <col min="11" max="11" width="39.5703125" bestFit="1" customWidth="1"/>
    <col min="15" max="16" width="12.5703125" customWidth="1"/>
  </cols>
  <sheetData>
    <row r="1" spans="1:17">
      <c r="A1" s="1610" t="s">
        <v>313</v>
      </c>
      <c r="B1" s="1610"/>
      <c r="C1" s="50"/>
      <c r="J1" s="1610" t="s">
        <v>313</v>
      </c>
      <c r="K1" s="1610"/>
      <c r="L1" s="509"/>
    </row>
    <row r="2" spans="1:17" ht="15.75">
      <c r="A2" s="523" t="s">
        <v>750</v>
      </c>
      <c r="B2" s="523"/>
      <c r="C2" s="19"/>
      <c r="J2" s="89" t="s">
        <v>92</v>
      </c>
    </row>
    <row r="3" spans="1:17" ht="45" customHeight="1">
      <c r="A3" s="105"/>
      <c r="B3" s="105"/>
      <c r="C3" s="105"/>
      <c r="D3" s="267"/>
      <c r="E3" s="1425" t="s">
        <v>17</v>
      </c>
      <c r="F3" s="1425"/>
      <c r="G3" s="1308"/>
      <c r="H3" s="1287" t="s">
        <v>1085</v>
      </c>
      <c r="J3" s="105"/>
      <c r="K3" s="105"/>
      <c r="L3" s="105"/>
      <c r="M3" s="280"/>
      <c r="N3" s="1425" t="s">
        <v>17</v>
      </c>
      <c r="O3" s="1425"/>
      <c r="P3" s="1308"/>
      <c r="Q3" s="1287" t="s">
        <v>1085</v>
      </c>
    </row>
    <row r="4" spans="1:17" ht="18">
      <c r="A4" s="105"/>
      <c r="B4" s="105"/>
      <c r="C4" s="268" t="s">
        <v>256</v>
      </c>
      <c r="D4" s="268" t="s">
        <v>48</v>
      </c>
      <c r="E4" s="268" t="s">
        <v>16</v>
      </c>
      <c r="F4" s="268" t="s">
        <v>113</v>
      </c>
      <c r="G4" s="386" t="s">
        <v>114</v>
      </c>
      <c r="H4" s="1287"/>
      <c r="J4" s="105"/>
      <c r="K4" s="105"/>
      <c r="L4" s="689" t="s">
        <v>256</v>
      </c>
      <c r="M4" s="689" t="s">
        <v>48</v>
      </c>
      <c r="N4" s="689" t="s">
        <v>16</v>
      </c>
      <c r="O4" s="689" t="s">
        <v>113</v>
      </c>
      <c r="P4" s="692" t="s">
        <v>114</v>
      </c>
      <c r="Q4" s="1287"/>
    </row>
    <row r="5" spans="1:17" ht="15" customHeight="1">
      <c r="A5" s="105"/>
      <c r="B5" s="105" t="s">
        <v>163</v>
      </c>
      <c r="C5" s="272">
        <v>0</v>
      </c>
      <c r="D5" s="267">
        <v>0</v>
      </c>
      <c r="E5" s="267">
        <v>0</v>
      </c>
      <c r="F5" s="267">
        <v>0</v>
      </c>
      <c r="G5" s="389">
        <v>0</v>
      </c>
      <c r="H5" s="391">
        <v>0</v>
      </c>
      <c r="J5" s="105"/>
      <c r="K5" s="105" t="s">
        <v>163</v>
      </c>
      <c r="L5" s="281">
        <v>0</v>
      </c>
      <c r="M5" s="280">
        <v>0</v>
      </c>
      <c r="N5" s="280">
        <v>0</v>
      </c>
      <c r="O5" s="280">
        <v>0</v>
      </c>
      <c r="P5" s="389">
        <v>0</v>
      </c>
      <c r="Q5" s="391">
        <v>0</v>
      </c>
    </row>
    <row r="6" spans="1:17">
      <c r="A6" s="105" t="s">
        <v>310</v>
      </c>
      <c r="B6" s="105" t="s">
        <v>435</v>
      </c>
      <c r="C6" s="272" t="s">
        <v>1016</v>
      </c>
      <c r="D6" s="267">
        <v>100</v>
      </c>
      <c r="E6" s="267">
        <v>1.6</v>
      </c>
      <c r="F6" s="267">
        <v>0.65</v>
      </c>
      <c r="G6" s="389">
        <v>1.37</v>
      </c>
      <c r="H6" s="391">
        <v>15</v>
      </c>
      <c r="J6" s="105" t="s">
        <v>310</v>
      </c>
      <c r="K6" s="105" t="s">
        <v>435</v>
      </c>
      <c r="L6" s="281" t="s">
        <v>1016</v>
      </c>
      <c r="M6" s="280">
        <v>100</v>
      </c>
      <c r="N6" s="280">
        <v>1.6</v>
      </c>
      <c r="O6" s="280">
        <v>0.65</v>
      </c>
      <c r="P6" s="389">
        <v>1.37</v>
      </c>
      <c r="Q6" s="391">
        <v>15</v>
      </c>
    </row>
    <row r="7" spans="1:17">
      <c r="A7" s="105"/>
      <c r="B7" s="105" t="s">
        <v>436</v>
      </c>
      <c r="C7" s="272" t="s">
        <v>1050</v>
      </c>
      <c r="D7" s="267">
        <v>100</v>
      </c>
      <c r="E7" s="267">
        <v>2.86</v>
      </c>
      <c r="F7" s="267">
        <v>1.1299999999999999</v>
      </c>
      <c r="G7" s="389">
        <v>3.3</v>
      </c>
      <c r="H7" s="391">
        <v>15</v>
      </c>
      <c r="J7" s="105"/>
      <c r="K7" s="105" t="s">
        <v>436</v>
      </c>
      <c r="L7" s="281" t="s">
        <v>1050</v>
      </c>
      <c r="M7" s="280">
        <v>100</v>
      </c>
      <c r="N7" s="280">
        <v>2.86</v>
      </c>
      <c r="O7" s="280">
        <v>1.1299999999999999</v>
      </c>
      <c r="P7" s="389">
        <v>3.3</v>
      </c>
      <c r="Q7" s="391">
        <v>15</v>
      </c>
    </row>
    <row r="8" spans="1:17">
      <c r="A8" s="105"/>
      <c r="B8" s="105" t="s">
        <v>434</v>
      </c>
      <c r="C8" s="272" t="s">
        <v>1017</v>
      </c>
      <c r="D8" s="267">
        <v>100</v>
      </c>
      <c r="E8" s="267">
        <v>1.35</v>
      </c>
      <c r="F8" s="267">
        <v>0.56999999999999995</v>
      </c>
      <c r="G8" s="389">
        <v>1.61</v>
      </c>
      <c r="H8" s="391">
        <v>15</v>
      </c>
      <c r="J8" s="105"/>
      <c r="K8" s="105" t="s">
        <v>434</v>
      </c>
      <c r="L8" s="281" t="s">
        <v>1017</v>
      </c>
      <c r="M8" s="280">
        <v>100</v>
      </c>
      <c r="N8" s="280">
        <v>1.35</v>
      </c>
      <c r="O8" s="280">
        <v>0.56999999999999995</v>
      </c>
      <c r="P8" s="389">
        <v>1.61</v>
      </c>
      <c r="Q8" s="391">
        <v>15</v>
      </c>
    </row>
    <row r="9" spans="1:17">
      <c r="A9" s="105"/>
      <c r="B9" s="105" t="s">
        <v>422</v>
      </c>
      <c r="C9" s="272" t="s">
        <v>1051</v>
      </c>
      <c r="D9" s="267">
        <v>100</v>
      </c>
      <c r="E9" s="267">
        <v>2.9</v>
      </c>
      <c r="F9" s="267">
        <v>0.7</v>
      </c>
      <c r="G9" s="389">
        <v>3.1</v>
      </c>
      <c r="H9" s="391">
        <v>15</v>
      </c>
      <c r="J9" s="105"/>
      <c r="K9" s="105" t="s">
        <v>422</v>
      </c>
      <c r="L9" s="281" t="s">
        <v>1051</v>
      </c>
      <c r="M9" s="280">
        <v>100</v>
      </c>
      <c r="N9" s="280">
        <v>2.9</v>
      </c>
      <c r="O9" s="280">
        <v>0.7</v>
      </c>
      <c r="P9" s="389">
        <v>3.1</v>
      </c>
      <c r="Q9" s="391">
        <v>15</v>
      </c>
    </row>
    <row r="10" spans="1:17">
      <c r="A10" s="105"/>
      <c r="B10" s="105" t="s">
        <v>423</v>
      </c>
      <c r="C10" s="272" t="s">
        <v>1053</v>
      </c>
      <c r="D10" s="267">
        <v>100</v>
      </c>
      <c r="E10" s="267">
        <v>2.9</v>
      </c>
      <c r="F10" s="267">
        <v>0.75</v>
      </c>
      <c r="G10" s="389">
        <v>3.25</v>
      </c>
      <c r="H10" s="391">
        <v>15</v>
      </c>
      <c r="J10" s="105"/>
      <c r="K10" s="105" t="s">
        <v>423</v>
      </c>
      <c r="L10" s="281" t="s">
        <v>1053</v>
      </c>
      <c r="M10" s="280">
        <v>100</v>
      </c>
      <c r="N10" s="280">
        <v>2.9</v>
      </c>
      <c r="O10" s="280">
        <v>0.75</v>
      </c>
      <c r="P10" s="389">
        <v>3.25</v>
      </c>
      <c r="Q10" s="391">
        <v>15</v>
      </c>
    </row>
    <row r="11" spans="1:17" ht="15.75">
      <c r="A11" s="105"/>
      <c r="B11" s="105" t="s">
        <v>920</v>
      </c>
      <c r="C11" s="272" t="s">
        <v>154</v>
      </c>
      <c r="D11" s="267">
        <v>100</v>
      </c>
      <c r="E11" s="49" t="s">
        <v>605</v>
      </c>
      <c r="F11" s="49" t="s">
        <v>604</v>
      </c>
      <c r="G11" s="49" t="s">
        <v>604</v>
      </c>
      <c r="H11" s="391">
        <v>15</v>
      </c>
      <c r="J11" s="105"/>
      <c r="K11" s="105" t="s">
        <v>920</v>
      </c>
      <c r="L11" s="281" t="s">
        <v>154</v>
      </c>
      <c r="M11" s="280">
        <v>100</v>
      </c>
      <c r="N11" s="49" t="s">
        <v>605</v>
      </c>
      <c r="O11" s="49" t="s">
        <v>604</v>
      </c>
      <c r="P11" s="49" t="s">
        <v>604</v>
      </c>
      <c r="Q11" s="391">
        <v>15</v>
      </c>
    </row>
    <row r="12" spans="1:17">
      <c r="A12" s="105"/>
      <c r="B12" s="105" t="s">
        <v>424</v>
      </c>
      <c r="C12" s="272">
        <v>11</v>
      </c>
      <c r="D12" s="267">
        <v>100</v>
      </c>
      <c r="E12" s="267">
        <v>2.86</v>
      </c>
      <c r="F12" s="267">
        <v>0.86</v>
      </c>
      <c r="G12" s="389">
        <v>3</v>
      </c>
      <c r="H12" s="391">
        <v>15</v>
      </c>
      <c r="J12" s="105"/>
      <c r="K12" s="105" t="s">
        <v>424</v>
      </c>
      <c r="L12" s="281">
        <v>11</v>
      </c>
      <c r="M12" s="280">
        <v>100</v>
      </c>
      <c r="N12" s="280">
        <v>2.86</v>
      </c>
      <c r="O12" s="280">
        <v>0.86</v>
      </c>
      <c r="P12" s="389">
        <v>3</v>
      </c>
      <c r="Q12" s="391">
        <v>15</v>
      </c>
    </row>
    <row r="13" spans="1:17" ht="16.5" customHeight="1">
      <c r="A13" s="105"/>
      <c r="B13" s="105" t="s">
        <v>1086</v>
      </c>
      <c r="C13" s="272" t="s">
        <v>154</v>
      </c>
      <c r="D13" s="267">
        <v>100</v>
      </c>
      <c r="E13" s="49" t="s">
        <v>605</v>
      </c>
      <c r="F13" s="49" t="s">
        <v>604</v>
      </c>
      <c r="G13" s="49" t="s">
        <v>604</v>
      </c>
      <c r="H13" s="391">
        <v>25</v>
      </c>
      <c r="J13" s="105"/>
      <c r="K13" s="105" t="s">
        <v>1086</v>
      </c>
      <c r="L13" s="281" t="s">
        <v>154</v>
      </c>
      <c r="M13" s="280">
        <v>100</v>
      </c>
      <c r="N13" s="49" t="s">
        <v>605</v>
      </c>
      <c r="O13" s="49" t="s">
        <v>604</v>
      </c>
      <c r="P13" s="49" t="s">
        <v>604</v>
      </c>
      <c r="Q13" s="391">
        <v>25</v>
      </c>
    </row>
    <row r="14" spans="1:17">
      <c r="B14" s="423" t="s">
        <v>163</v>
      </c>
      <c r="C14" s="424">
        <v>0</v>
      </c>
      <c r="D14" s="425">
        <v>0</v>
      </c>
      <c r="E14" s="425">
        <v>0</v>
      </c>
      <c r="F14" s="425">
        <v>0</v>
      </c>
      <c r="G14" s="426">
        <v>0</v>
      </c>
      <c r="H14" s="427">
        <v>0</v>
      </c>
      <c r="J14" s="105"/>
      <c r="K14" s="423" t="s">
        <v>163</v>
      </c>
      <c r="L14" s="424">
        <v>0</v>
      </c>
      <c r="M14" s="425">
        <v>0</v>
      </c>
      <c r="N14" s="425">
        <v>0</v>
      </c>
      <c r="O14" s="425">
        <v>0</v>
      </c>
      <c r="P14" s="426">
        <v>0</v>
      </c>
      <c r="Q14" s="427">
        <v>0</v>
      </c>
    </row>
    <row r="15" spans="1:17">
      <c r="A15" s="105" t="s">
        <v>311</v>
      </c>
      <c r="B15" s="105" t="s">
        <v>710</v>
      </c>
      <c r="C15" s="272" t="s">
        <v>1068</v>
      </c>
      <c r="D15" s="267">
        <v>35</v>
      </c>
      <c r="E15" s="267">
        <v>1.01</v>
      </c>
      <c r="F15" s="267">
        <v>0.32</v>
      </c>
      <c r="G15" s="389">
        <v>1.3</v>
      </c>
      <c r="H15" s="391">
        <v>0</v>
      </c>
      <c r="J15" s="105" t="s">
        <v>311</v>
      </c>
      <c r="K15" s="105" t="s">
        <v>710</v>
      </c>
      <c r="L15" s="281" t="s">
        <v>1068</v>
      </c>
      <c r="M15" s="280">
        <v>35</v>
      </c>
      <c r="N15" s="280">
        <v>1.01</v>
      </c>
      <c r="O15" s="280">
        <v>0.32</v>
      </c>
      <c r="P15" s="389">
        <v>1.3</v>
      </c>
      <c r="Q15" s="391">
        <v>0</v>
      </c>
    </row>
    <row r="16" spans="1:17">
      <c r="A16" s="105"/>
      <c r="B16" s="105" t="s">
        <v>711</v>
      </c>
      <c r="C16" s="272" t="s">
        <v>1067</v>
      </c>
      <c r="D16" s="267">
        <v>35</v>
      </c>
      <c r="E16" s="267">
        <v>0.97</v>
      </c>
      <c r="F16" s="267">
        <v>0.3</v>
      </c>
      <c r="G16" s="389">
        <v>1.05</v>
      </c>
      <c r="H16" s="391">
        <v>0</v>
      </c>
      <c r="J16" s="105"/>
      <c r="K16" s="105" t="s">
        <v>711</v>
      </c>
      <c r="L16" s="281" t="s">
        <v>1067</v>
      </c>
      <c r="M16" s="280">
        <v>35</v>
      </c>
      <c r="N16" s="280">
        <v>0.97</v>
      </c>
      <c r="O16" s="280">
        <v>0.3</v>
      </c>
      <c r="P16" s="389">
        <v>1.05</v>
      </c>
      <c r="Q16" s="391">
        <v>0</v>
      </c>
    </row>
    <row r="17" spans="1:17">
      <c r="A17" s="105"/>
      <c r="B17" s="105" t="s">
        <v>712</v>
      </c>
      <c r="C17" s="272" t="s">
        <v>1069</v>
      </c>
      <c r="D17" s="267">
        <v>35</v>
      </c>
      <c r="E17" s="267">
        <v>0.95</v>
      </c>
      <c r="F17" s="267">
        <v>0.3</v>
      </c>
      <c r="G17" s="389">
        <v>1.0900000000000001</v>
      </c>
      <c r="H17" s="391">
        <v>0</v>
      </c>
      <c r="J17" s="105"/>
      <c r="K17" s="105" t="s">
        <v>712</v>
      </c>
      <c r="L17" s="281" t="s">
        <v>1069</v>
      </c>
      <c r="M17" s="280">
        <v>35</v>
      </c>
      <c r="N17" s="280">
        <v>0.95</v>
      </c>
      <c r="O17" s="280">
        <v>0.3</v>
      </c>
      <c r="P17" s="389">
        <v>1.0900000000000001</v>
      </c>
      <c r="Q17" s="391">
        <v>0</v>
      </c>
    </row>
    <row r="18" spans="1:17">
      <c r="A18" s="105"/>
      <c r="B18" s="105" t="s">
        <v>312</v>
      </c>
      <c r="C18" s="272" t="s">
        <v>1070</v>
      </c>
      <c r="D18" s="267">
        <v>35</v>
      </c>
      <c r="E18" s="267">
        <v>1.04</v>
      </c>
      <c r="F18" s="267">
        <v>0.32</v>
      </c>
      <c r="G18" s="389">
        <v>1.1299999999999999</v>
      </c>
      <c r="H18" s="391">
        <v>0</v>
      </c>
      <c r="J18" s="105"/>
      <c r="K18" s="105" t="s">
        <v>312</v>
      </c>
      <c r="L18" s="281" t="s">
        <v>1070</v>
      </c>
      <c r="M18" s="280">
        <v>35</v>
      </c>
      <c r="N18" s="280">
        <v>1.04</v>
      </c>
      <c r="O18" s="280">
        <v>0.32</v>
      </c>
      <c r="P18" s="389">
        <v>1.1299999999999999</v>
      </c>
      <c r="Q18" s="391">
        <v>0</v>
      </c>
    </row>
    <row r="19" spans="1:17">
      <c r="A19" s="105"/>
      <c r="B19" s="105" t="s">
        <v>713</v>
      </c>
      <c r="C19" s="272" t="s">
        <v>991</v>
      </c>
      <c r="D19" s="271">
        <v>35</v>
      </c>
      <c r="E19" s="269">
        <v>0.92400000000000004</v>
      </c>
      <c r="F19" s="269">
        <v>0.24045</v>
      </c>
      <c r="G19" s="390">
        <v>1.26</v>
      </c>
      <c r="H19" s="391">
        <v>0</v>
      </c>
      <c r="J19" s="105"/>
      <c r="K19" s="105" t="s">
        <v>713</v>
      </c>
      <c r="L19" s="281" t="s">
        <v>991</v>
      </c>
      <c r="M19" s="271">
        <v>35</v>
      </c>
      <c r="N19" s="269">
        <v>0.92400000000000004</v>
      </c>
      <c r="O19" s="269">
        <v>0.24045</v>
      </c>
      <c r="P19" s="390">
        <v>1.26</v>
      </c>
      <c r="Q19" s="391">
        <v>0</v>
      </c>
    </row>
    <row r="20" spans="1:17">
      <c r="A20" s="105"/>
      <c r="B20" s="105" t="s">
        <v>714</v>
      </c>
      <c r="C20" s="272" t="s">
        <v>1071</v>
      </c>
      <c r="D20" s="271">
        <v>25</v>
      </c>
      <c r="E20" s="269">
        <v>0.6</v>
      </c>
      <c r="F20" s="269">
        <v>0.24045</v>
      </c>
      <c r="G20" s="390">
        <v>0.9</v>
      </c>
      <c r="H20" s="391">
        <v>0</v>
      </c>
      <c r="J20" s="105"/>
      <c r="K20" s="105" t="s">
        <v>714</v>
      </c>
      <c r="L20" s="281" t="s">
        <v>1071</v>
      </c>
      <c r="M20" s="271">
        <v>25</v>
      </c>
      <c r="N20" s="269">
        <v>0.6</v>
      </c>
      <c r="O20" s="269">
        <v>0.24045</v>
      </c>
      <c r="P20" s="390">
        <v>0.9</v>
      </c>
      <c r="Q20" s="391">
        <v>0</v>
      </c>
    </row>
    <row r="21" spans="1:17">
      <c r="A21" s="105"/>
      <c r="B21" s="105" t="s">
        <v>715</v>
      </c>
      <c r="C21" s="272" t="s">
        <v>1072</v>
      </c>
      <c r="D21" s="271">
        <v>35</v>
      </c>
      <c r="E21" s="269">
        <v>0.55999999999999994</v>
      </c>
      <c r="F21" s="269">
        <v>0.23</v>
      </c>
      <c r="G21" s="390">
        <v>0.504</v>
      </c>
      <c r="H21" s="391">
        <v>0</v>
      </c>
      <c r="J21" s="105"/>
      <c r="K21" s="105" t="s">
        <v>715</v>
      </c>
      <c r="L21" s="281" t="s">
        <v>1072</v>
      </c>
      <c r="M21" s="271">
        <v>35</v>
      </c>
      <c r="N21" s="269">
        <v>0.55999999999999994</v>
      </c>
      <c r="O21" s="269">
        <v>0.23</v>
      </c>
      <c r="P21" s="390">
        <v>0.504</v>
      </c>
      <c r="Q21" s="391">
        <v>0</v>
      </c>
    </row>
    <row r="22" spans="1:17">
      <c r="A22" s="105"/>
      <c r="B22" s="105" t="s">
        <v>716</v>
      </c>
      <c r="C22" s="272" t="s">
        <v>1073</v>
      </c>
      <c r="D22" s="271">
        <v>30</v>
      </c>
      <c r="E22" s="269">
        <v>0.4032</v>
      </c>
      <c r="F22" s="269">
        <v>0.15114</v>
      </c>
      <c r="G22" s="390">
        <v>0.39599999999999996</v>
      </c>
      <c r="H22" s="391">
        <v>0</v>
      </c>
      <c r="J22" s="105"/>
      <c r="K22" s="105" t="s">
        <v>716</v>
      </c>
      <c r="L22" s="281" t="s">
        <v>1073</v>
      </c>
      <c r="M22" s="271">
        <v>30</v>
      </c>
      <c r="N22" s="269">
        <v>0.4032</v>
      </c>
      <c r="O22" s="269">
        <v>0.15114</v>
      </c>
      <c r="P22" s="390">
        <v>0.39599999999999996</v>
      </c>
      <c r="Q22" s="391">
        <v>0</v>
      </c>
    </row>
    <row r="23" spans="1:17">
      <c r="A23" s="105"/>
      <c r="B23" s="105" t="s">
        <v>717</v>
      </c>
      <c r="C23" s="272" t="s">
        <v>1074</v>
      </c>
      <c r="D23" s="270">
        <v>35</v>
      </c>
      <c r="E23" s="269">
        <v>0.45919999999999994</v>
      </c>
      <c r="F23" s="269">
        <v>0.17633000000000001</v>
      </c>
      <c r="G23" s="390">
        <v>0.46200000000000002</v>
      </c>
      <c r="H23" s="391">
        <v>0</v>
      </c>
      <c r="J23" s="105"/>
      <c r="K23" s="105" t="s">
        <v>717</v>
      </c>
      <c r="L23" s="281" t="s">
        <v>1074</v>
      </c>
      <c r="M23" s="270">
        <v>35</v>
      </c>
      <c r="N23" s="269">
        <v>0.45919999999999994</v>
      </c>
      <c r="O23" s="269">
        <v>0.17633000000000001</v>
      </c>
      <c r="P23" s="390">
        <v>0.46200000000000002</v>
      </c>
      <c r="Q23" s="391">
        <v>0</v>
      </c>
    </row>
    <row r="24" spans="1:17">
      <c r="A24" s="105"/>
      <c r="B24" s="105" t="s">
        <v>718</v>
      </c>
      <c r="C24" s="272" t="s">
        <v>1075</v>
      </c>
      <c r="D24" s="270">
        <v>86</v>
      </c>
      <c r="E24" s="269">
        <v>1.8163199999999999</v>
      </c>
      <c r="F24" s="269">
        <v>0.66959600000000008</v>
      </c>
      <c r="G24" s="390">
        <v>2.58</v>
      </c>
      <c r="H24" s="391">
        <v>0</v>
      </c>
      <c r="J24" s="105"/>
      <c r="K24" s="105" t="s">
        <v>718</v>
      </c>
      <c r="L24" s="281" t="s">
        <v>1075</v>
      </c>
      <c r="M24" s="270">
        <v>86</v>
      </c>
      <c r="N24" s="269">
        <v>1.8163199999999999</v>
      </c>
      <c r="O24" s="269">
        <v>0.66959600000000008</v>
      </c>
      <c r="P24" s="390">
        <v>2.58</v>
      </c>
      <c r="Q24" s="391">
        <v>0</v>
      </c>
    </row>
    <row r="25" spans="1:17">
      <c r="A25" s="105"/>
      <c r="B25" s="105" t="s">
        <v>719</v>
      </c>
      <c r="C25" s="272" t="s">
        <v>1076</v>
      </c>
      <c r="D25" s="270">
        <v>86</v>
      </c>
      <c r="E25" s="269">
        <v>1.3484799999999999</v>
      </c>
      <c r="F25" s="269">
        <v>0.49234999999999995</v>
      </c>
      <c r="G25" s="390">
        <v>2.0639999999999996</v>
      </c>
      <c r="H25" s="391">
        <v>0</v>
      </c>
      <c r="J25" s="105"/>
      <c r="K25" s="105" t="s">
        <v>719</v>
      </c>
      <c r="L25" s="281" t="s">
        <v>1076</v>
      </c>
      <c r="M25" s="270">
        <v>86</v>
      </c>
      <c r="N25" s="269">
        <v>1.3484799999999999</v>
      </c>
      <c r="O25" s="269">
        <v>0.49234999999999995</v>
      </c>
      <c r="P25" s="390">
        <v>2.0639999999999996</v>
      </c>
      <c r="Q25" s="391">
        <v>0</v>
      </c>
    </row>
    <row r="26" spans="1:17">
      <c r="A26" s="105"/>
      <c r="B26" s="105" t="s">
        <v>720</v>
      </c>
      <c r="C26" s="272" t="s">
        <v>1077</v>
      </c>
      <c r="D26" s="270">
        <v>86</v>
      </c>
      <c r="E26" s="269">
        <v>2.1328000000000005</v>
      </c>
      <c r="F26" s="269">
        <v>0.68928999999999996</v>
      </c>
      <c r="G26" s="390">
        <v>2.6831999999999998</v>
      </c>
      <c r="H26" s="391">
        <v>0</v>
      </c>
      <c r="J26" s="105"/>
      <c r="K26" s="105" t="s">
        <v>720</v>
      </c>
      <c r="L26" s="281" t="s">
        <v>1077</v>
      </c>
      <c r="M26" s="270">
        <v>86</v>
      </c>
      <c r="N26" s="269">
        <v>2.1328000000000005</v>
      </c>
      <c r="O26" s="269">
        <v>0.68928999999999996</v>
      </c>
      <c r="P26" s="390">
        <v>2.6831999999999998</v>
      </c>
      <c r="Q26" s="391">
        <v>0</v>
      </c>
    </row>
    <row r="27" spans="1:17">
      <c r="A27" s="105"/>
      <c r="B27" s="105" t="s">
        <v>721</v>
      </c>
      <c r="C27" s="272" t="s">
        <v>1078</v>
      </c>
      <c r="D27" s="270">
        <v>86</v>
      </c>
      <c r="E27" s="269">
        <v>1.6512</v>
      </c>
      <c r="F27" s="269">
        <v>0.57112600000000002</v>
      </c>
      <c r="G27" s="390">
        <v>2.2704</v>
      </c>
      <c r="H27" s="391">
        <v>0</v>
      </c>
      <c r="J27" s="105"/>
      <c r="K27" s="105" t="s">
        <v>721</v>
      </c>
      <c r="L27" s="281" t="s">
        <v>1078</v>
      </c>
      <c r="M27" s="270">
        <v>86</v>
      </c>
      <c r="N27" s="269">
        <v>1.6512</v>
      </c>
      <c r="O27" s="269">
        <v>0.57112600000000002</v>
      </c>
      <c r="P27" s="390">
        <v>2.2704</v>
      </c>
      <c r="Q27" s="391">
        <v>0</v>
      </c>
    </row>
    <row r="28" spans="1:17">
      <c r="A28" s="105"/>
      <c r="B28" s="105" t="s">
        <v>722</v>
      </c>
      <c r="C28" s="272" t="s">
        <v>1079</v>
      </c>
      <c r="D28" s="270">
        <v>86</v>
      </c>
      <c r="E28" s="269">
        <v>2.5455999999999999</v>
      </c>
      <c r="F28" s="269">
        <v>0.68928999999999996</v>
      </c>
      <c r="G28" s="390">
        <v>3.0960000000000001</v>
      </c>
      <c r="H28" s="391">
        <v>0</v>
      </c>
      <c r="J28" s="105"/>
      <c r="K28" s="105" t="s">
        <v>722</v>
      </c>
      <c r="L28" s="281" t="s">
        <v>1079</v>
      </c>
      <c r="M28" s="270">
        <v>86</v>
      </c>
      <c r="N28" s="269">
        <v>2.5455999999999999</v>
      </c>
      <c r="O28" s="269">
        <v>0.68928999999999996</v>
      </c>
      <c r="P28" s="390">
        <v>3.0960000000000001</v>
      </c>
      <c r="Q28" s="391">
        <v>0</v>
      </c>
    </row>
    <row r="29" spans="1:17">
      <c r="A29" s="428"/>
      <c r="B29" s="105" t="s">
        <v>723</v>
      </c>
      <c r="C29" s="272" t="s">
        <v>1080</v>
      </c>
      <c r="D29" s="270">
        <v>86</v>
      </c>
      <c r="E29" s="269">
        <v>2.4492800000000003</v>
      </c>
      <c r="F29" s="269">
        <v>0.61051400000000011</v>
      </c>
      <c r="G29" s="390">
        <v>2.7863999999999995</v>
      </c>
      <c r="H29" s="391">
        <v>0</v>
      </c>
      <c r="J29" s="105"/>
      <c r="K29" s="105" t="s">
        <v>723</v>
      </c>
      <c r="L29" s="281" t="s">
        <v>1080</v>
      </c>
      <c r="M29" s="270">
        <v>86</v>
      </c>
      <c r="N29" s="269">
        <v>2.4492800000000003</v>
      </c>
      <c r="O29" s="269">
        <v>0.61051400000000011</v>
      </c>
      <c r="P29" s="390">
        <v>2.7863999999999995</v>
      </c>
      <c r="Q29" s="391">
        <v>0</v>
      </c>
    </row>
  </sheetData>
  <mergeCells count="6">
    <mergeCell ref="J1:K1"/>
    <mergeCell ref="N3:P3"/>
    <mergeCell ref="Q3:Q4"/>
    <mergeCell ref="E3:G3"/>
    <mergeCell ref="A1:B1"/>
    <mergeCell ref="H3:H4"/>
  </mergeCells>
  <pageMargins left="0.7" right="0.7" top="0.78740157499999996" bottom="0.78740157499999996" header="0.3" footer="0.3"/>
  <pageSetup paperSize="9" scale="4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tabColor theme="2"/>
  </sheetPr>
  <dimension ref="A2:H18"/>
  <sheetViews>
    <sheetView workbookViewId="0"/>
  </sheetViews>
  <sheetFormatPr baseColWidth="10" defaultRowHeight="15"/>
  <cols>
    <col min="2" max="2" width="17.28515625" bestFit="1" customWidth="1"/>
  </cols>
  <sheetData>
    <row r="2" spans="1:8">
      <c r="A2" s="1611" t="s">
        <v>1127</v>
      </c>
      <c r="B2" s="1611"/>
      <c r="D2" s="1"/>
    </row>
    <row r="4" spans="1:8">
      <c r="B4" s="558"/>
      <c r="C4" s="558"/>
      <c r="D4" s="558"/>
      <c r="E4" s="558"/>
      <c r="F4" s="1531" t="s">
        <v>307</v>
      </c>
      <c r="G4" s="1531"/>
      <c r="H4" s="1531"/>
    </row>
    <row r="5" spans="1:8" ht="18">
      <c r="B5" s="558" t="s">
        <v>303</v>
      </c>
      <c r="C5" s="558" t="s">
        <v>304</v>
      </c>
      <c r="D5" s="558" t="s">
        <v>305</v>
      </c>
      <c r="E5" s="558" t="s">
        <v>306</v>
      </c>
      <c r="F5" s="558" t="s">
        <v>16</v>
      </c>
      <c r="G5" s="558" t="s">
        <v>152</v>
      </c>
      <c r="H5" s="558" t="s">
        <v>153</v>
      </c>
    </row>
    <row r="6" spans="1:8">
      <c r="B6" s="558">
        <v>1</v>
      </c>
      <c r="C6" s="558">
        <v>40</v>
      </c>
      <c r="D6" s="558">
        <v>100</v>
      </c>
      <c r="E6" s="541">
        <v>8.625</v>
      </c>
      <c r="F6" s="558">
        <v>1.38</v>
      </c>
      <c r="G6" s="558">
        <v>0.5</v>
      </c>
      <c r="H6" s="558">
        <v>1.5</v>
      </c>
    </row>
    <row r="7" spans="1:8">
      <c r="B7" s="558">
        <v>2</v>
      </c>
      <c r="C7" s="558">
        <v>55</v>
      </c>
      <c r="D7" s="558">
        <v>100</v>
      </c>
      <c r="E7" s="541">
        <v>11.375</v>
      </c>
      <c r="F7" s="558">
        <v>1.82</v>
      </c>
      <c r="G7" s="558">
        <v>0.65</v>
      </c>
      <c r="H7" s="558">
        <v>2.5</v>
      </c>
    </row>
    <row r="8" spans="1:8">
      <c r="B8" s="558">
        <v>3</v>
      </c>
      <c r="C8" s="558">
        <v>80</v>
      </c>
      <c r="D8" s="558">
        <v>100</v>
      </c>
      <c r="E8" s="541">
        <v>15</v>
      </c>
      <c r="F8" s="558">
        <v>2.4</v>
      </c>
      <c r="G8" s="558">
        <v>0.71</v>
      </c>
      <c r="H8" s="558">
        <v>2.9</v>
      </c>
    </row>
    <row r="9" spans="1:8">
      <c r="B9" s="558">
        <v>4</v>
      </c>
      <c r="C9" s="558">
        <v>90</v>
      </c>
      <c r="D9" s="558">
        <v>100</v>
      </c>
      <c r="E9" s="541">
        <v>16.875</v>
      </c>
      <c r="F9" s="558">
        <v>2.7</v>
      </c>
      <c r="G9" s="558">
        <v>0.81</v>
      </c>
      <c r="H9" s="558">
        <v>3</v>
      </c>
    </row>
    <row r="10" spans="1:8">
      <c r="B10" s="558">
        <v>5</v>
      </c>
      <c r="C10" s="558">
        <v>110</v>
      </c>
      <c r="D10" s="558">
        <v>100</v>
      </c>
      <c r="E10" s="541">
        <v>17.5</v>
      </c>
      <c r="F10" s="558">
        <v>2.8</v>
      </c>
      <c r="G10" s="558">
        <v>0.87</v>
      </c>
      <c r="H10" s="558">
        <v>3</v>
      </c>
    </row>
    <row r="12" spans="1:8">
      <c r="B12" s="1612" t="s">
        <v>692</v>
      </c>
      <c r="C12" s="1613"/>
      <c r="D12" s="1613"/>
      <c r="E12" s="1613"/>
      <c r="F12" s="1613"/>
      <c r="G12" s="1613"/>
      <c r="H12" s="1614"/>
    </row>
    <row r="13" spans="1:8">
      <c r="B13" s="1615"/>
      <c r="C13" s="1616"/>
      <c r="D13" s="1616"/>
      <c r="E13" s="1616"/>
      <c r="F13" s="1616"/>
      <c r="G13" s="1616"/>
      <c r="H13" s="1617"/>
    </row>
    <row r="18" spans="3:5">
      <c r="C18" s="1"/>
      <c r="D18" s="1"/>
      <c r="E18" s="1"/>
    </row>
  </sheetData>
  <sheetProtection formatColumns="0" formatRows="0" selectLockedCells="1"/>
  <mergeCells count="3">
    <mergeCell ref="A2:B2"/>
    <mergeCell ref="F4:H4"/>
    <mergeCell ref="B12:H13"/>
  </mergeCell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tabColor theme="2"/>
    <pageSetUpPr fitToPage="1"/>
  </sheetPr>
  <dimension ref="A1:N30"/>
  <sheetViews>
    <sheetView zoomScale="90" zoomScaleNormal="90" workbookViewId="0">
      <selection sqref="A1:J1"/>
    </sheetView>
  </sheetViews>
  <sheetFormatPr baseColWidth="10" defaultRowHeight="15"/>
  <cols>
    <col min="1" max="1" width="12.140625" style="139" customWidth="1"/>
    <col min="2" max="2" width="21.7109375" style="127" customWidth="1"/>
    <col min="3" max="3" width="11.7109375" style="139" customWidth="1"/>
    <col min="4" max="4" width="1.42578125" style="139" customWidth="1"/>
    <col min="5" max="5" width="14.7109375" style="140" customWidth="1"/>
    <col min="6" max="6" width="27.85546875" style="227" customWidth="1"/>
    <col min="7" max="7" width="48.42578125" style="136" customWidth="1"/>
    <col min="8" max="8" width="1.42578125" style="136" customWidth="1"/>
    <col min="9" max="9" width="18.85546875" style="139" customWidth="1"/>
    <col min="10" max="10" width="34.140625" style="139" customWidth="1"/>
    <col min="11" max="11" width="5.7109375" style="139" customWidth="1"/>
    <col min="12" max="16384" width="11.42578125" style="139"/>
  </cols>
  <sheetData>
    <row r="1" spans="1:14" ht="30" customHeight="1">
      <c r="A1" s="1618" t="s">
        <v>196</v>
      </c>
      <c r="B1" s="1241"/>
      <c r="C1" s="1241"/>
      <c r="D1" s="1241"/>
      <c r="E1" s="1241"/>
      <c r="F1" s="1241"/>
      <c r="G1" s="1241"/>
      <c r="H1" s="1241"/>
      <c r="I1" s="1241"/>
      <c r="J1" s="1241"/>
    </row>
    <row r="2" spans="1:14" ht="5.25" customHeight="1" thickBot="1">
      <c r="A2" s="150"/>
      <c r="B2" s="129"/>
      <c r="C2" s="129"/>
      <c r="D2" s="134"/>
      <c r="E2" s="200"/>
      <c r="F2" s="217"/>
      <c r="G2" s="193"/>
      <c r="H2" s="134"/>
      <c r="I2" s="129"/>
      <c r="J2" s="129"/>
    </row>
    <row r="3" spans="1:14" ht="50.25" customHeight="1" thickBot="1">
      <c r="A3" s="146"/>
      <c r="B3" s="157" t="s">
        <v>201</v>
      </c>
      <c r="C3" s="162" t="s">
        <v>203</v>
      </c>
      <c r="D3" s="188"/>
      <c r="E3" s="92" t="s">
        <v>231</v>
      </c>
      <c r="F3" s="218" t="s">
        <v>207</v>
      </c>
      <c r="G3" s="206" t="s">
        <v>204</v>
      </c>
      <c r="H3" s="147"/>
      <c r="I3" s="154" t="s">
        <v>202</v>
      </c>
      <c r="J3" s="158" t="s">
        <v>203</v>
      </c>
    </row>
    <row r="4" spans="1:14" ht="7.5" customHeight="1">
      <c r="A4" s="151"/>
      <c r="B4" s="152"/>
      <c r="C4" s="163"/>
      <c r="D4" s="146"/>
      <c r="E4" s="201"/>
      <c r="F4" s="219"/>
      <c r="G4" s="207"/>
      <c r="H4" s="148"/>
      <c r="I4" s="155"/>
      <c r="J4" s="159"/>
    </row>
    <row r="5" spans="1:14" ht="32.25" customHeight="1">
      <c r="A5" s="1623" t="s">
        <v>220</v>
      </c>
      <c r="B5" s="168" t="s">
        <v>209</v>
      </c>
      <c r="C5" s="169" t="s">
        <v>200</v>
      </c>
      <c r="D5" s="189"/>
      <c r="E5" s="202">
        <v>1</v>
      </c>
      <c r="F5" s="220" t="s">
        <v>213</v>
      </c>
      <c r="G5" s="208" t="s">
        <v>219</v>
      </c>
      <c r="H5" s="165"/>
      <c r="I5" s="166" t="s">
        <v>208</v>
      </c>
      <c r="J5" s="167" t="s">
        <v>224</v>
      </c>
    </row>
    <row r="6" spans="1:14" ht="29.25" customHeight="1">
      <c r="A6" s="1624"/>
      <c r="B6" s="168" t="s">
        <v>210</v>
      </c>
      <c r="C6" s="169" t="s">
        <v>200</v>
      </c>
      <c r="D6" s="189"/>
      <c r="E6" s="202">
        <v>6</v>
      </c>
      <c r="F6" s="220" t="s">
        <v>222</v>
      </c>
      <c r="G6" s="208" t="s">
        <v>228</v>
      </c>
      <c r="H6" s="165"/>
      <c r="I6" s="170"/>
      <c r="J6" s="167"/>
    </row>
    <row r="7" spans="1:14" ht="19.5" customHeight="1">
      <c r="A7" s="1624"/>
      <c r="B7" s="168" t="s">
        <v>227</v>
      </c>
      <c r="C7" s="169" t="s">
        <v>205</v>
      </c>
      <c r="D7" s="189"/>
      <c r="E7" s="202"/>
      <c r="F7" s="221"/>
      <c r="G7" s="209"/>
      <c r="H7" s="187"/>
      <c r="I7" s="170"/>
      <c r="J7" s="167"/>
    </row>
    <row r="8" spans="1:14" ht="20.25" customHeight="1">
      <c r="A8" s="1624"/>
      <c r="B8" s="168" t="s">
        <v>131</v>
      </c>
      <c r="C8" s="169" t="s">
        <v>200</v>
      </c>
      <c r="D8" s="189"/>
      <c r="E8" s="202"/>
      <c r="F8" s="221"/>
      <c r="G8" s="209"/>
      <c r="H8" s="165"/>
      <c r="I8" s="170"/>
      <c r="J8" s="171"/>
    </row>
    <row r="9" spans="1:14" ht="6.75" customHeight="1">
      <c r="A9" s="129"/>
      <c r="B9" s="153"/>
      <c r="C9" s="164"/>
      <c r="D9" s="146"/>
      <c r="E9" s="203"/>
      <c r="F9" s="222"/>
      <c r="G9" s="210"/>
      <c r="H9" s="148"/>
      <c r="I9" s="156"/>
      <c r="J9" s="160"/>
    </row>
    <row r="10" spans="1:14" ht="39.75" customHeight="1">
      <c r="A10" s="1621" t="s">
        <v>233</v>
      </c>
      <c r="B10" s="172" t="s">
        <v>130</v>
      </c>
      <c r="C10" s="173" t="s">
        <v>200</v>
      </c>
      <c r="D10" s="190"/>
      <c r="E10" s="204">
        <v>2</v>
      </c>
      <c r="F10" s="223" t="s">
        <v>214</v>
      </c>
      <c r="G10" s="211" t="s">
        <v>238</v>
      </c>
      <c r="H10" s="174"/>
      <c r="I10" s="175" t="s">
        <v>146</v>
      </c>
      <c r="J10" s="176" t="s">
        <v>200</v>
      </c>
    </row>
    <row r="11" spans="1:14" s="199" customFormat="1" ht="39" customHeight="1">
      <c r="A11" s="1621"/>
      <c r="B11" s="172" t="s">
        <v>135</v>
      </c>
      <c r="C11" s="173" t="s">
        <v>200</v>
      </c>
      <c r="D11" s="190"/>
      <c r="E11" s="204">
        <v>5</v>
      </c>
      <c r="F11" s="223" t="s">
        <v>235</v>
      </c>
      <c r="G11" s="211" t="s">
        <v>240</v>
      </c>
      <c r="H11" s="174"/>
      <c r="I11" s="175" t="s">
        <v>206</v>
      </c>
      <c r="J11" s="176" t="s">
        <v>200</v>
      </c>
    </row>
    <row r="12" spans="1:14" s="199" customFormat="1" ht="43.5" customHeight="1">
      <c r="A12" s="1621"/>
      <c r="B12" s="172"/>
      <c r="C12" s="173"/>
      <c r="D12" s="190"/>
      <c r="E12" s="204">
        <v>8</v>
      </c>
      <c r="F12" s="223" t="s">
        <v>211</v>
      </c>
      <c r="G12" s="211" t="s">
        <v>239</v>
      </c>
      <c r="H12" s="174"/>
      <c r="I12" s="175" t="s">
        <v>218</v>
      </c>
      <c r="J12" s="177" t="s">
        <v>226</v>
      </c>
    </row>
    <row r="13" spans="1:14" ht="30" customHeight="1">
      <c r="A13" s="1622"/>
      <c r="B13" s="172"/>
      <c r="C13" s="173"/>
      <c r="D13" s="190"/>
      <c r="E13" s="204">
        <v>7</v>
      </c>
      <c r="F13" s="223" t="s">
        <v>217</v>
      </c>
      <c r="G13" s="211" t="s">
        <v>1144</v>
      </c>
      <c r="H13" s="178"/>
      <c r="I13" s="175"/>
      <c r="J13" s="177"/>
    </row>
    <row r="14" spans="1:14" ht="6" customHeight="1">
      <c r="A14" s="129"/>
      <c r="B14" s="128"/>
      <c r="C14" s="164"/>
      <c r="D14" s="146"/>
      <c r="E14" s="203"/>
      <c r="F14" s="224"/>
      <c r="G14" s="212"/>
      <c r="H14" s="149"/>
      <c r="I14" s="156"/>
      <c r="J14" s="161"/>
    </row>
    <row r="15" spans="1:14" ht="30" customHeight="1">
      <c r="A15" s="1619" t="s">
        <v>237</v>
      </c>
      <c r="B15" s="179" t="s">
        <v>215</v>
      </c>
      <c r="C15" s="180" t="s">
        <v>200</v>
      </c>
      <c r="D15" s="191"/>
      <c r="E15" s="205">
        <v>3</v>
      </c>
      <c r="F15" s="225" t="s">
        <v>230</v>
      </c>
      <c r="G15" s="213" t="s">
        <v>229</v>
      </c>
      <c r="H15" s="181"/>
      <c r="I15" s="195" t="s">
        <v>221</v>
      </c>
      <c r="J15" s="196" t="s">
        <v>200</v>
      </c>
      <c r="N15" s="139" t="s">
        <v>246</v>
      </c>
    </row>
    <row r="16" spans="1:14" ht="42.75" customHeight="1">
      <c r="A16" s="1620"/>
      <c r="B16" s="179" t="s">
        <v>216</v>
      </c>
      <c r="C16" s="180" t="s">
        <v>200</v>
      </c>
      <c r="D16" s="191"/>
      <c r="E16" s="205">
        <v>4</v>
      </c>
      <c r="F16" s="225" t="s">
        <v>212</v>
      </c>
      <c r="G16" s="213" t="s">
        <v>232</v>
      </c>
      <c r="H16" s="184"/>
      <c r="I16" s="182"/>
      <c r="J16" s="183"/>
    </row>
    <row r="17" spans="1:11" ht="26.25" customHeight="1" thickBot="1">
      <c r="A17" s="1620"/>
      <c r="B17" s="229" t="s">
        <v>241</v>
      </c>
      <c r="C17" s="230" t="s">
        <v>200</v>
      </c>
      <c r="D17" s="192"/>
      <c r="E17" s="215">
        <v>5</v>
      </c>
      <c r="F17" s="226" t="s">
        <v>234</v>
      </c>
      <c r="G17" s="214" t="s">
        <v>244</v>
      </c>
      <c r="H17" s="184"/>
      <c r="I17" s="185"/>
      <c r="J17" s="186"/>
    </row>
    <row r="18" spans="1:11" ht="9.75" customHeight="1"/>
    <row r="19" spans="1:11">
      <c r="B19" s="1625" t="s">
        <v>225</v>
      </c>
      <c r="C19" s="1533"/>
      <c r="G19" s="216" t="s">
        <v>236</v>
      </c>
      <c r="J19" s="1625" t="s">
        <v>225</v>
      </c>
      <c r="K19" s="1533"/>
    </row>
    <row r="20" spans="1:11">
      <c r="F20" s="228"/>
      <c r="G20" s="194"/>
      <c r="H20" s="139"/>
    </row>
    <row r="21" spans="1:11">
      <c r="B21" s="231" t="s">
        <v>242</v>
      </c>
      <c r="F21" s="228"/>
      <c r="G21" s="194"/>
      <c r="H21" s="139"/>
      <c r="I21" s="231" t="s">
        <v>243</v>
      </c>
    </row>
    <row r="22" spans="1:11" ht="11.25" customHeight="1">
      <c r="C22" s="143"/>
      <c r="D22" s="143"/>
      <c r="E22" s="198"/>
    </row>
    <row r="24" spans="1:11">
      <c r="B24" s="145"/>
      <c r="C24" s="143"/>
      <c r="D24" s="143"/>
      <c r="E24" s="198"/>
      <c r="I24" s="140"/>
      <c r="J24" s="144"/>
    </row>
    <row r="25" spans="1:11">
      <c r="I25" s="140"/>
      <c r="J25" s="138"/>
    </row>
    <row r="26" spans="1:11" ht="24" customHeight="1">
      <c r="J26" s="137"/>
    </row>
    <row r="27" spans="1:11">
      <c r="J27" s="137"/>
    </row>
    <row r="28" spans="1:11">
      <c r="I28" s="140"/>
      <c r="J28" s="144"/>
    </row>
    <row r="29" spans="1:11">
      <c r="B29" s="142"/>
      <c r="C29" s="141"/>
      <c r="D29" s="141"/>
      <c r="E29" s="198"/>
      <c r="J29" s="144"/>
    </row>
    <row r="30" spans="1:11">
      <c r="J30" s="144"/>
    </row>
  </sheetData>
  <sheetProtection formatCells="0" formatColumns="0" selectLockedCells="1"/>
  <mergeCells count="6">
    <mergeCell ref="A1:J1"/>
    <mergeCell ref="A15:A17"/>
    <mergeCell ref="A10:A13"/>
    <mergeCell ref="A5:A8"/>
    <mergeCell ref="B19:C19"/>
    <mergeCell ref="J19:K19"/>
  </mergeCells>
  <pageMargins left="0.7" right="0.7" top="0.78740157499999996" bottom="0.78740157499999996" header="0.3" footer="0.3"/>
  <pageSetup paperSize="9" scale="66" orientation="landscape" horizontalDpi="4294967293" verticalDpi="4294967293"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tabColor theme="9" tint="0.59999389629810485"/>
  </sheetPr>
  <dimension ref="A1:AC473"/>
  <sheetViews>
    <sheetView topLeftCell="A25" zoomScale="80" zoomScaleNormal="80" workbookViewId="0">
      <selection activeCell="B11" sqref="B11"/>
    </sheetView>
  </sheetViews>
  <sheetFormatPr baseColWidth="10" defaultRowHeight="15"/>
  <cols>
    <col min="1" max="1" width="6.140625" style="795" customWidth="1"/>
    <col min="2" max="2" width="54.5703125" style="78" customWidth="1"/>
    <col min="3" max="3" width="29.7109375" style="78" customWidth="1"/>
    <col min="4" max="5" width="14.7109375" style="78" customWidth="1"/>
    <col min="6" max="6" width="30.28515625" style="78" customWidth="1"/>
    <col min="7" max="8" width="32.7109375" style="78" customWidth="1"/>
    <col min="9" max="9" width="11" style="78" customWidth="1"/>
    <col min="10" max="12" width="8.140625" style="78" customWidth="1"/>
    <col min="13" max="15" width="7.5703125" style="78" customWidth="1"/>
    <col min="16" max="17" width="8.42578125" style="78" customWidth="1"/>
    <col min="18" max="18" width="12.5703125" style="78" customWidth="1"/>
    <col min="19" max="21" width="9.42578125" style="78" customWidth="1"/>
    <col min="22" max="22" width="7.28515625" style="78" customWidth="1"/>
    <col min="23" max="23" width="9" style="78" customWidth="1"/>
    <col min="24" max="24" width="10.85546875" style="78" customWidth="1"/>
    <col min="25" max="25" width="6" style="78" customWidth="1"/>
    <col min="26" max="26" width="12.7109375" style="78" customWidth="1"/>
    <col min="27" max="16384" width="11.42578125" style="78"/>
  </cols>
  <sheetData>
    <row r="1" spans="1:26" ht="18.75" customHeight="1">
      <c r="A1" s="797"/>
      <c r="B1" s="1223" t="s">
        <v>1123</v>
      </c>
      <c r="C1" s="1223"/>
      <c r="D1" s="86"/>
      <c r="E1" s="86"/>
      <c r="F1" s="86"/>
      <c r="G1" s="86"/>
      <c r="H1" s="86"/>
      <c r="I1" s="86"/>
      <c r="J1" s="86"/>
      <c r="K1" s="86"/>
      <c r="L1" s="86"/>
      <c r="M1" s="86"/>
      <c r="N1" s="86"/>
      <c r="O1" s="86"/>
    </row>
    <row r="2" spans="1:26" ht="15.75" customHeight="1" thickBot="1">
      <c r="A2" s="797"/>
      <c r="B2" s="1223"/>
      <c r="C2" s="1223"/>
      <c r="D2" s="86"/>
      <c r="E2" s="897"/>
      <c r="F2" s="896"/>
      <c r="G2" s="536"/>
      <c r="H2" s="751"/>
      <c r="I2" s="86"/>
      <c r="J2" s="86"/>
      <c r="K2" s="86"/>
      <c r="L2" s="86"/>
      <c r="M2" s="86"/>
      <c r="N2" s="86"/>
      <c r="O2" s="86"/>
    </row>
    <row r="3" spans="1:26" ht="18" customHeight="1" thickBot="1">
      <c r="A3" s="798"/>
      <c r="B3" s="1276" t="s">
        <v>1164</v>
      </c>
      <c r="C3" s="1280" t="s">
        <v>431</v>
      </c>
      <c r="D3" s="1281"/>
      <c r="E3" s="1282" t="b">
        <f>IF(AND(F67&gt;0,F67=Betrieb!F9),"",IF(F67&lt;Betrieb!F9,"Bitte tragen Sie die noch fehlenden Flächen ein",IF(F67&gt;Betrieb!F9,"Achtung: Flächen-umfang stimmt nicht mit Tabellenblatt ´´Betrieb´´ überein!")))</f>
        <v>0</v>
      </c>
      <c r="F3" s="86"/>
      <c r="G3" s="536"/>
      <c r="H3" s="1289" t="s">
        <v>1167</v>
      </c>
      <c r="I3" s="86"/>
      <c r="J3" s="86"/>
      <c r="K3" s="86"/>
      <c r="L3" s="86"/>
      <c r="M3" s="86"/>
      <c r="N3" s="86"/>
      <c r="O3" s="86"/>
    </row>
    <row r="4" spans="1:26" ht="18" customHeight="1">
      <c r="A4" s="798"/>
      <c r="B4" s="1277"/>
      <c r="C4" s="453" t="s">
        <v>438</v>
      </c>
      <c r="D4" s="817">
        <v>14</v>
      </c>
      <c r="E4" s="1283"/>
      <c r="F4" s="86"/>
      <c r="G4" s="536"/>
      <c r="H4" s="1220"/>
      <c r="I4" s="86"/>
      <c r="J4" s="86"/>
      <c r="K4" s="86"/>
      <c r="L4" s="86"/>
      <c r="M4" s="86"/>
      <c r="N4" s="86"/>
      <c r="O4" s="86"/>
    </row>
    <row r="5" spans="1:26" ht="18" customHeight="1">
      <c r="A5" s="798"/>
      <c r="B5" s="1277"/>
      <c r="C5" s="448" t="s">
        <v>542</v>
      </c>
      <c r="D5" s="818">
        <v>440</v>
      </c>
      <c r="E5" s="1283"/>
      <c r="F5" s="86"/>
      <c r="G5" s="538"/>
      <c r="H5" s="1220"/>
      <c r="I5" s="86"/>
      <c r="J5" s="86"/>
      <c r="K5" s="86"/>
      <c r="L5" s="86"/>
      <c r="M5" s="86"/>
      <c r="N5" s="86"/>
      <c r="O5" s="86"/>
    </row>
    <row r="6" spans="1:26" ht="19.5" customHeight="1">
      <c r="A6" s="798"/>
      <c r="B6" s="1278"/>
      <c r="C6" s="448" t="s">
        <v>543</v>
      </c>
      <c r="D6" s="485">
        <f>D5*D4/100</f>
        <v>61.6</v>
      </c>
      <c r="E6" s="1283"/>
      <c r="F6" s="86"/>
      <c r="G6" s="538"/>
      <c r="H6" s="1220"/>
      <c r="I6" s="86"/>
      <c r="J6" s="86"/>
      <c r="K6" s="86"/>
      <c r="L6" s="86"/>
      <c r="M6" s="86"/>
      <c r="N6" s="86"/>
      <c r="O6" s="86"/>
    </row>
    <row r="7" spans="1:26" s="5" customFormat="1" ht="36.75" customHeight="1">
      <c r="A7" s="799"/>
      <c r="B7" s="1278"/>
      <c r="C7" s="451" t="s">
        <v>609</v>
      </c>
      <c r="D7" s="818">
        <v>86</v>
      </c>
      <c r="E7" s="1283"/>
      <c r="F7" s="440"/>
      <c r="G7" s="285"/>
      <c r="H7" s="1220"/>
      <c r="J7" s="1285" t="s">
        <v>374</v>
      </c>
      <c r="K7" s="1285"/>
      <c r="L7" s="1285"/>
      <c r="M7" s="1285" t="s">
        <v>373</v>
      </c>
      <c r="N7" s="1285"/>
      <c r="O7" s="1285"/>
      <c r="P7" s="399"/>
      <c r="Q7" s="399"/>
      <c r="R7" s="403"/>
      <c r="S7" s="399"/>
      <c r="T7" s="399"/>
      <c r="U7" s="399"/>
      <c r="V7" s="399"/>
      <c r="W7" s="399"/>
      <c r="X7" s="399"/>
      <c r="Y7" s="399"/>
      <c r="Z7" s="399"/>
    </row>
    <row r="8" spans="1:26" s="285" customFormat="1" ht="30.75" customHeight="1" thickBot="1">
      <c r="A8" s="800"/>
      <c r="B8" s="1279"/>
      <c r="C8" s="452" t="s">
        <v>544</v>
      </c>
      <c r="D8" s="828">
        <f>IF(D7=0,0,D6/(D7/100))</f>
        <v>71.627906976744185</v>
      </c>
      <c r="E8" s="1284"/>
      <c r="J8" s="1285" t="s">
        <v>132</v>
      </c>
      <c r="K8" s="1285"/>
      <c r="L8" s="1285"/>
      <c r="M8" s="1285" t="s">
        <v>132</v>
      </c>
      <c r="N8" s="1285"/>
      <c r="O8" s="1285"/>
      <c r="P8" s="1286"/>
      <c r="Q8" s="1286"/>
      <c r="S8" s="1287" t="s">
        <v>444</v>
      </c>
      <c r="T8" s="1287"/>
      <c r="U8" s="1287"/>
      <c r="V8" s="1287" t="s">
        <v>405</v>
      </c>
      <c r="W8" s="1287"/>
      <c r="X8" s="1287"/>
      <c r="Y8" s="1287"/>
      <c r="Z8" s="1287"/>
    </row>
    <row r="9" spans="1:26" s="5" customFormat="1" ht="71.25" customHeight="1">
      <c r="A9" s="900" t="s">
        <v>256</v>
      </c>
      <c r="B9" s="447" t="s">
        <v>1150</v>
      </c>
      <c r="C9" s="443" t="s">
        <v>1057</v>
      </c>
      <c r="D9" s="732" t="s">
        <v>1168</v>
      </c>
      <c r="E9" s="445" t="s">
        <v>362</v>
      </c>
      <c r="F9" s="396" t="s">
        <v>375</v>
      </c>
      <c r="G9" s="397" t="s">
        <v>1058</v>
      </c>
      <c r="H9" s="888" t="s">
        <v>1166</v>
      </c>
      <c r="I9" s="412" t="s">
        <v>979</v>
      </c>
      <c r="J9" s="396" t="s">
        <v>16</v>
      </c>
      <c r="K9" s="396" t="s">
        <v>113</v>
      </c>
      <c r="L9" s="396" t="s">
        <v>114</v>
      </c>
      <c r="M9" s="396" t="s">
        <v>16</v>
      </c>
      <c r="N9" s="396" t="s">
        <v>113</v>
      </c>
      <c r="O9" s="396" t="s">
        <v>114</v>
      </c>
      <c r="P9" s="412"/>
      <c r="Q9" s="412"/>
      <c r="R9" s="412" t="s">
        <v>416</v>
      </c>
      <c r="S9" s="396" t="s">
        <v>16</v>
      </c>
      <c r="T9" s="396" t="s">
        <v>113</v>
      </c>
      <c r="U9" s="396" t="s">
        <v>114</v>
      </c>
      <c r="V9" s="1291" t="s">
        <v>910</v>
      </c>
      <c r="W9" s="1291"/>
      <c r="X9" s="1287" t="s">
        <v>402</v>
      </c>
      <c r="Y9" s="1287"/>
      <c r="Z9" s="398" t="s">
        <v>360</v>
      </c>
    </row>
    <row r="10" spans="1:26" s="5" customFormat="1" ht="15.75" customHeight="1">
      <c r="A10" s="900">
        <f>VLOOKUP(B10,'Daten Ernteprodukte'!$B$5:$C$96,2,FALSE)</f>
        <v>0</v>
      </c>
      <c r="B10" s="829" t="s">
        <v>163</v>
      </c>
      <c r="C10" s="830">
        <v>0</v>
      </c>
      <c r="D10" s="831">
        <v>0</v>
      </c>
      <c r="E10" s="832">
        <v>0</v>
      </c>
      <c r="F10" s="833" t="s">
        <v>547</v>
      </c>
      <c r="G10" s="890" t="s">
        <v>1239</v>
      </c>
      <c r="H10" s="892"/>
      <c r="I10" s="891">
        <f>IF(VLOOKUP(B10,'Daten Ernteprodukte'!$B$5:$N$50,11,FALSE)=0,VLOOKUP(Pflanzenbau!B10,'Daten Ernteprodukte'!$B$5:$N$50,12,FALSE),VLOOKUP(Pflanzenbau!B10,'Daten Ernteprodukte'!$B$5:$N$50,11,FALSE)*Pflanzenbau!D10*E10)</f>
        <v>0</v>
      </c>
      <c r="J10" s="351">
        <f>IF(OR(A10=5.7),0.86*C10/5.7,IF(OR(A10=6.25),0.86*C10/6.25,VLOOKUP(Pflanzenbau!B10,'Daten Ernteprodukte'!$B$5:$K$50,8,FALSE)))</f>
        <v>0</v>
      </c>
      <c r="K10" s="351">
        <f>VLOOKUP($B10,'Daten Ernteprodukte'!$B$5:$N$50,9,FALSE)</f>
        <v>0</v>
      </c>
      <c r="L10" s="351">
        <f>VLOOKUP($B10,'Daten Ernteprodukte'!$B$5:$N$50,10,FALSE)</f>
        <v>0</v>
      </c>
      <c r="M10" s="454">
        <f>VLOOKUP(B10,'Daten Ernteprodukte'!$B$5:$Q$50,14,FALSE)</f>
        <v>0</v>
      </c>
      <c r="N10" s="454">
        <f>VLOOKUP(B10,'Daten Ernteprodukte'!$B$5:$Q$50,15,FALSE)</f>
        <v>0</v>
      </c>
      <c r="O10" s="454">
        <f>VLOOKUP(B10,'Daten Ernteprodukte'!$B$5:$Q$50,16,FALSE)</f>
        <v>0</v>
      </c>
      <c r="P10" s="454"/>
      <c r="Q10" s="455"/>
      <c r="R10" s="442">
        <f>((IF(F10="Verwertung in eigener BGA",J10*D10*0.95,0))+(IF(G10="Verwertung in eigener BGA",M10*D10*VLOOKUP(Pflanzenbau!B10,'Daten Ernteprodukte'!$B$5:$Q$50,3,FALSE)*0.95,0)))*E10</f>
        <v>0</v>
      </c>
      <c r="S10" s="456">
        <f>(IF(F10="Vermarktung",J10*D10,0)+(IF(G10="Vermarktung",M10*D10*VLOOKUP(B10,'Daten Ernteprodukte'!$B$5:$Q$50,3,FALSE),0)))*E10</f>
        <v>0</v>
      </c>
      <c r="T10" s="457">
        <f>((IF(F10="Vermarktung",K10*D10,0))+(IF(G10="Vermarktung",N10*D10*VLOOKUP(B10,'Daten Ernteprodukte'!$B$5:$Q$50,3,FALSE),0)))*E10</f>
        <v>0</v>
      </c>
      <c r="U10" s="458">
        <f>((IF(F10="Vermarktung",L10*D10,0))+(IF(G10="Vermarktung",D10*O10*VLOOKUP(B10,'Daten Ernteprodukte'!$B$5:$Q$50,3,FALSE),0)))*E10</f>
        <v>0</v>
      </c>
      <c r="V10" s="1290">
        <f>((IF(F10="Verwertung in eigener BGA",D10*J10,0))+IF(G10="Verwertung in eigener BGA",M10*D10*VLOOKUP(B10,'Daten Ernteprodukte'!$B$5:$Q$50,3,FALSE),0))*0.05*E10</f>
        <v>0</v>
      </c>
      <c r="W10" s="1290"/>
      <c r="X10" s="1290">
        <f>((IF(F10="Verwertung in eigener BGA",D10*J10*E10,0)+IF(G10="Verwertung in eigener BGA",M10*D10*VLOOKUP(B10,'Daten Ernteprodukte'!$B$5:$Q$50,3,FALSE)*E10,0))-V10)*0.05</f>
        <v>0</v>
      </c>
      <c r="Y10" s="1290"/>
      <c r="Z10" s="442">
        <f>(((IF(F10="Verwertung in eigener BGA",(J10*E10*D10),0))+IF(G10="Verwertung in eigener BGA",M10*D10*VLOOKUP(B10,'Daten Ernteprodukte'!$B$5:$Q$50,3,FALSE)*E10,0))-V10-X10)*0.1</f>
        <v>0</v>
      </c>
    </row>
    <row r="11" spans="1:26" s="5" customFormat="1" ht="15.75" customHeight="1">
      <c r="A11" s="900">
        <f>VLOOKUP(B11,'Daten Ernteprodukte'!$B$5:$C$96,2,FALSE)</f>
        <v>0</v>
      </c>
      <c r="B11" s="829" t="s">
        <v>163</v>
      </c>
      <c r="C11" s="830">
        <v>0</v>
      </c>
      <c r="D11" s="831">
        <v>0</v>
      </c>
      <c r="E11" s="832">
        <v>0</v>
      </c>
      <c r="F11" s="833" t="s">
        <v>1220</v>
      </c>
      <c r="G11" s="890" t="s">
        <v>1239</v>
      </c>
      <c r="H11" s="892"/>
      <c r="I11" s="891">
        <f>IF(VLOOKUP(B11,'Daten Ernteprodukte'!$B$5:$N$50,11,FALSE)=0,VLOOKUP(Pflanzenbau!B11,'Daten Ernteprodukte'!$B$5:$N$50,12,FALSE),VLOOKUP(Pflanzenbau!B11,'Daten Ernteprodukte'!$B$5:$N$50,11,FALSE)*Pflanzenbau!D11*E11)</f>
        <v>0</v>
      </c>
      <c r="J11" s="351">
        <f>IF(OR(A11=5.7),0.86*C11/5.7,IF(OR(A11=6.25),0.86*C11/6.25,VLOOKUP(Pflanzenbau!B11,'Daten Ernteprodukte'!$B$5:$K$50,8,FALSE)))</f>
        <v>0</v>
      </c>
      <c r="K11" s="351">
        <f>VLOOKUP($B11,'Daten Ernteprodukte'!$B$5:$N$50,9,FALSE)</f>
        <v>0</v>
      </c>
      <c r="L11" s="351">
        <f>VLOOKUP($B11,'Daten Ernteprodukte'!$B$5:$N$50,10,FALSE)</f>
        <v>0</v>
      </c>
      <c r="M11" s="454">
        <f>VLOOKUP(B11,'Daten Ernteprodukte'!$B$5:$Q$50,14,FALSE)</f>
        <v>0</v>
      </c>
      <c r="N11" s="454">
        <f>VLOOKUP(B11,'Daten Ernteprodukte'!$B$5:$Q$50,15,FALSE)</f>
        <v>0</v>
      </c>
      <c r="O11" s="454">
        <f>VLOOKUP(B11,'Daten Ernteprodukte'!$B$5:$Q$50,16,FALSE)</f>
        <v>0</v>
      </c>
      <c r="P11" s="454"/>
      <c r="Q11" s="455"/>
      <c r="R11" s="653">
        <f>((IF(F11="Verwertung in eigener BGA",J11*D11*0.95,0))+(IF(G11="Verwertung in eigener BGA",M11*D11*VLOOKUP(Pflanzenbau!B11,'Daten Ernteprodukte'!$B$5:$Q$50,3,FALSE)*0.95,0)))*E11</f>
        <v>0</v>
      </c>
      <c r="S11" s="456">
        <f>(IF(F11="Vermarktung",J11*D11,0)+(IF(G11="Vermarktung",M11*D11*VLOOKUP(B11,'Daten Ernteprodukte'!$B$5:$Q$50,3,FALSE),0)))*E11</f>
        <v>0</v>
      </c>
      <c r="T11" s="654">
        <f>((IF(F11="Vermarktung",K11*D11,0))+(IF(G11="Vermarktung",N11*D11*VLOOKUP(B11,'Daten Ernteprodukte'!$B$5:$Q$50,3,FALSE),0)))*E11</f>
        <v>0</v>
      </c>
      <c r="U11" s="458">
        <f>((IF(F11="Vermarktung",L11*D11,0))+(IF(G11="Vermarktung",D11*O11*VLOOKUP(B11,'Daten Ernteprodukte'!$B$5:$Q$50,3,FALSE),0)))*E11</f>
        <v>0</v>
      </c>
      <c r="V11" s="1290">
        <f>((IF(F11="Verwertung in eigener BGA",D11*J11,0))+IF(G11="Verwertung in eigener BGA",M11*D11*VLOOKUP(B11,'Daten Ernteprodukte'!$B$5:$Q$50,3,FALSE),0))*0.05*E11</f>
        <v>0</v>
      </c>
      <c r="W11" s="1290"/>
      <c r="X11" s="1290">
        <f>((IF(F11="Verwertung in eigener BGA",D11*J11*E11,0)+IF(G11="Verwertung in eigener BGA",M11*D11*VLOOKUP(B11,'Daten Ernteprodukte'!$B$5:$Q$50,3,FALSE)*E11,0))-V11)*0.05</f>
        <v>0</v>
      </c>
      <c r="Y11" s="1290"/>
      <c r="Z11" s="653">
        <f>(((IF(F11="Verwertung in eigener BGA",(J11*E11*D11),0))+IF(G11="Verwertung in eigener BGA",M11*D11*VLOOKUP(B11,'Daten Ernteprodukte'!$B$5:$Q$50,3,FALSE)*E11,0))-V11-X11)*0.1</f>
        <v>0</v>
      </c>
    </row>
    <row r="12" spans="1:26" s="5" customFormat="1">
      <c r="A12" s="900">
        <f>VLOOKUP(B12,'Daten Ernteprodukte'!$B$5:$C$96,2,FALSE)</f>
        <v>0</v>
      </c>
      <c r="B12" s="829" t="s">
        <v>163</v>
      </c>
      <c r="C12" s="830">
        <v>0</v>
      </c>
      <c r="D12" s="831">
        <v>0</v>
      </c>
      <c r="E12" s="832">
        <v>0</v>
      </c>
      <c r="F12" s="833" t="s">
        <v>547</v>
      </c>
      <c r="G12" s="890" t="s">
        <v>548</v>
      </c>
      <c r="H12" s="892"/>
      <c r="I12" s="891">
        <f>IF(VLOOKUP(B12,'Daten Ernteprodukte'!$B$5:$N$50,11,FALSE)=0,VLOOKUP(Pflanzenbau!B12,'Daten Ernteprodukte'!$B$5:$N$50,12,FALSE),VLOOKUP(Pflanzenbau!B12,'Daten Ernteprodukte'!$B$5:$N$50,11,FALSE)*Pflanzenbau!D12*E12)</f>
        <v>0</v>
      </c>
      <c r="J12" s="351">
        <f>IF(OR(A12=5.7),0.86*C12/5.7,IF(OR(A12=6.25),0.86*C12/6.25,VLOOKUP(Pflanzenbau!B12,'Daten Ernteprodukte'!$B$5:$K$50,8,FALSE)))</f>
        <v>0</v>
      </c>
      <c r="K12" s="351">
        <f>VLOOKUP($B12,'Daten Ernteprodukte'!$B$5:$N$50,9,FALSE)</f>
        <v>0</v>
      </c>
      <c r="L12" s="351">
        <f>VLOOKUP($B12,'Daten Ernteprodukte'!$B$5:$N$50,10,FALSE)</f>
        <v>0</v>
      </c>
      <c r="M12" s="454">
        <f>VLOOKUP(B12,'Daten Ernteprodukte'!$B$5:$Q$50,14,FALSE)</f>
        <v>0</v>
      </c>
      <c r="N12" s="454">
        <f>VLOOKUP(B12,'Daten Ernteprodukte'!$B$5:$Q$50,15,FALSE)</f>
        <v>0</v>
      </c>
      <c r="O12" s="454">
        <f>VLOOKUP(B12,'Daten Ernteprodukte'!$B$5:$Q$50,16,FALSE)</f>
        <v>0</v>
      </c>
      <c r="P12" s="454"/>
      <c r="Q12" s="455"/>
      <c r="R12" s="653">
        <f>((IF(F12="Verwertung in eigener BGA",J12*D12*0.95,0))+(IF(G12="Verwertung in eigener BGA",M12*D12*VLOOKUP(Pflanzenbau!B12,'Daten Ernteprodukte'!$B$5:$Q$50,3,FALSE)*0.95,0)))*E12</f>
        <v>0</v>
      </c>
      <c r="S12" s="456">
        <f>(IF(F12="Vermarktung",J12*D12,0)+(IF(G12="Vermarktung",M12*D12*VLOOKUP(B12,'Daten Ernteprodukte'!$B$5:$Q$50,3,FALSE),0)))*E12</f>
        <v>0</v>
      </c>
      <c r="T12" s="654">
        <f>((IF(F12="Vermarktung",K12*D12,0))+(IF(G12="Vermarktung",N12*D12*VLOOKUP(B12,'Daten Ernteprodukte'!$B$5:$Q$50,3,FALSE),0)))*E12</f>
        <v>0</v>
      </c>
      <c r="U12" s="458">
        <f>((IF(F12="Vermarktung",L12*D12,0))+(IF(G12="Vermarktung",D12*O12*VLOOKUP(B12,'Daten Ernteprodukte'!$B$5:$Q$50,3,FALSE),0)))*E12</f>
        <v>0</v>
      </c>
      <c r="V12" s="1290">
        <f>((IF(F12="Verwertung in eigener BGA",D12*J12,0))+IF(G12="Verwertung in eigener BGA",M12*D12*VLOOKUP(B12,'Daten Ernteprodukte'!$B$5:$Q$50,3,FALSE),0))*0.05*E12</f>
        <v>0</v>
      </c>
      <c r="W12" s="1290"/>
      <c r="X12" s="1290">
        <f>((IF(F12="Verwertung in eigener BGA",D12*J12*E12,0)+IF(G12="Verwertung in eigener BGA",M12*D12*VLOOKUP(B12,'Daten Ernteprodukte'!$B$5:$Q$50,3,FALSE)*E12,0))-V12)*0.05</f>
        <v>0</v>
      </c>
      <c r="Y12" s="1290"/>
      <c r="Z12" s="653">
        <f>(((IF(F12="Verwertung in eigener BGA",(J12*E12*D12),0))+IF(G12="Verwertung in eigener BGA",M12*D12*VLOOKUP(B12,'Daten Ernteprodukte'!$B$5:$Q$50,3,FALSE)*E12,0))-V12-X12)*0.1</f>
        <v>0</v>
      </c>
    </row>
    <row r="13" spans="1:26" s="5" customFormat="1">
      <c r="A13" s="900">
        <f>VLOOKUP(B13,'Daten Ernteprodukte'!$B$5:$C$96,2,FALSE)</f>
        <v>0</v>
      </c>
      <c r="B13" s="829" t="s">
        <v>163</v>
      </c>
      <c r="C13" s="830">
        <v>0</v>
      </c>
      <c r="D13" s="831">
        <v>0</v>
      </c>
      <c r="E13" s="832">
        <v>0</v>
      </c>
      <c r="F13" s="833" t="s">
        <v>547</v>
      </c>
      <c r="G13" s="890" t="s">
        <v>548</v>
      </c>
      <c r="H13" s="892"/>
      <c r="I13" s="891">
        <f>IF(VLOOKUP(B13,'Daten Ernteprodukte'!$B$5:$N$50,11,FALSE)=0,VLOOKUP(Pflanzenbau!B13,'Daten Ernteprodukte'!$B$5:$N$50,12,FALSE),VLOOKUP(Pflanzenbau!B13,'Daten Ernteprodukte'!$B$5:$N$50,11,FALSE)*Pflanzenbau!D13*E13)</f>
        <v>0</v>
      </c>
      <c r="J13" s="351">
        <f>IF(OR(A13=5.7),0.86*C13/5.7,IF(OR(A13=6.25),0.86*C13/6.25,VLOOKUP(Pflanzenbau!B13,'Daten Ernteprodukte'!$B$5:$K$50,8,FALSE)))</f>
        <v>0</v>
      </c>
      <c r="K13" s="351">
        <f>VLOOKUP($B13,'Daten Ernteprodukte'!$B$5:$N$50,9,FALSE)</f>
        <v>0</v>
      </c>
      <c r="L13" s="351">
        <f>VLOOKUP($B13,'Daten Ernteprodukte'!$B$5:$N$50,10,FALSE)</f>
        <v>0</v>
      </c>
      <c r="M13" s="454">
        <f>VLOOKUP(B13,'Daten Ernteprodukte'!$B$5:$Q$50,14,FALSE)</f>
        <v>0</v>
      </c>
      <c r="N13" s="454">
        <f>VLOOKUP(B13,'Daten Ernteprodukte'!$B$5:$Q$50,15,FALSE)</f>
        <v>0</v>
      </c>
      <c r="O13" s="454">
        <f>VLOOKUP(B13,'Daten Ernteprodukte'!$B$5:$Q$50,16,FALSE)</f>
        <v>0</v>
      </c>
      <c r="P13" s="454"/>
      <c r="Q13" s="455"/>
      <c r="R13" s="653">
        <f>((IF(F13="Verwertung in eigener BGA",J13*D13*0.95,0))+(IF(G13="Verwertung in eigener BGA",M13*D13*VLOOKUP(Pflanzenbau!B13,'Daten Ernteprodukte'!$B$5:$Q$50,3,FALSE)*0.95,0)))*E13</f>
        <v>0</v>
      </c>
      <c r="S13" s="456">
        <f>(IF(F13="Vermarktung",J13*D13,0)+(IF(G13="Vermarktung",M13*D13*VLOOKUP(B13,'Daten Ernteprodukte'!$B$5:$Q$50,3,FALSE),0)))*E13</f>
        <v>0</v>
      </c>
      <c r="T13" s="654">
        <f>((IF(F13="Vermarktung",K13*D13,0))+(IF(G13="Vermarktung",N13*D13*VLOOKUP(B13,'Daten Ernteprodukte'!$B$5:$Q$50,3,FALSE),0)))*E13</f>
        <v>0</v>
      </c>
      <c r="U13" s="458">
        <f>((IF(F13="Vermarktung",L13*D13,0))+(IF(G13="Vermarktung",D13*O13*VLOOKUP(B13,'Daten Ernteprodukte'!$B$5:$Q$50,3,FALSE),0)))*E13</f>
        <v>0</v>
      </c>
      <c r="V13" s="1290">
        <f>((IF(F13="Verwertung in eigener BGA",D13*J13,0))+IF(G13="Verwertung in eigener BGA",M13*D13*VLOOKUP(B13,'Daten Ernteprodukte'!$B$5:$Q$50,3,FALSE),0))*0.05*E13</f>
        <v>0</v>
      </c>
      <c r="W13" s="1290"/>
      <c r="X13" s="1290">
        <f>((IF(F13="Verwertung in eigener BGA",D13*J13*E13,0)+IF(G13="Verwertung in eigener BGA",M13*D13*VLOOKUP(B13,'Daten Ernteprodukte'!$B$5:$Q$50,3,FALSE)*E13,0))-V13)*0.05</f>
        <v>0</v>
      </c>
      <c r="Y13" s="1290"/>
      <c r="Z13" s="653">
        <f>(((IF(F13="Verwertung in eigener BGA",(J13*E13*D13),0))+IF(G13="Verwertung in eigener BGA",M13*D13*VLOOKUP(B13,'Daten Ernteprodukte'!$B$5:$Q$50,3,FALSE)*E13,0))-V13-X13)*0.1</f>
        <v>0</v>
      </c>
    </row>
    <row r="14" spans="1:26" s="5" customFormat="1">
      <c r="A14" s="900">
        <f>VLOOKUP(B14,'Daten Ernteprodukte'!$B$5:$C$96,2,FALSE)</f>
        <v>0</v>
      </c>
      <c r="B14" s="829" t="s">
        <v>163</v>
      </c>
      <c r="C14" s="830">
        <v>0</v>
      </c>
      <c r="D14" s="831">
        <v>0</v>
      </c>
      <c r="E14" s="832">
        <v>0</v>
      </c>
      <c r="F14" s="833" t="s">
        <v>547</v>
      </c>
      <c r="G14" s="890" t="s">
        <v>548</v>
      </c>
      <c r="H14" s="892"/>
      <c r="I14" s="891">
        <f>IF(VLOOKUP(B14,'Daten Ernteprodukte'!$B$5:$N$50,11,FALSE)=0,VLOOKUP(Pflanzenbau!B14,'Daten Ernteprodukte'!$B$5:$N$50,12,FALSE),VLOOKUP(Pflanzenbau!B14,'Daten Ernteprodukte'!$B$5:$N$50,11,FALSE)*Pflanzenbau!D14*E14)</f>
        <v>0</v>
      </c>
      <c r="J14" s="351">
        <f>IF(OR(A14=5.7),0.86*C14/5.7,IF(OR(A14=6.25),0.86*C14/6.25,VLOOKUP(Pflanzenbau!B14,'Daten Ernteprodukte'!$B$5:$K$50,8,FALSE)))</f>
        <v>0</v>
      </c>
      <c r="K14" s="351">
        <f>VLOOKUP($B14,'Daten Ernteprodukte'!$B$5:$N$50,9,FALSE)</f>
        <v>0</v>
      </c>
      <c r="L14" s="351">
        <f>VLOOKUP($B14,'Daten Ernteprodukte'!$B$5:$N$50,10,FALSE)</f>
        <v>0</v>
      </c>
      <c r="M14" s="454">
        <f>VLOOKUP(B14,'Daten Ernteprodukte'!$B$5:$Q$50,14,FALSE)</f>
        <v>0</v>
      </c>
      <c r="N14" s="454">
        <f>VLOOKUP(B14,'Daten Ernteprodukte'!$B$5:$Q$50,15,FALSE)</f>
        <v>0</v>
      </c>
      <c r="O14" s="454">
        <f>VLOOKUP(B14,'Daten Ernteprodukte'!$B$5:$Q$50,16,FALSE)</f>
        <v>0</v>
      </c>
      <c r="P14" s="454"/>
      <c r="Q14" s="455"/>
      <c r="R14" s="653">
        <f>((IF(F14="Verwertung in eigener BGA",J14*D14*0.95,0))+(IF(G14="Verwertung in eigener BGA",M14*D14*VLOOKUP(Pflanzenbau!B14,'Daten Ernteprodukte'!$B$5:$Q$50,3,FALSE)*0.95,0)))*E14</f>
        <v>0</v>
      </c>
      <c r="S14" s="456">
        <f>(IF(F14="Vermarktung",J14*D14,0)+(IF(G14="Vermarktung",M14*D14*VLOOKUP(B14,'Daten Ernteprodukte'!$B$5:$Q$50,3,FALSE),0)))*E14</f>
        <v>0</v>
      </c>
      <c r="T14" s="654">
        <f>((IF(F14="Vermarktung",K14*D14,0))+(IF(G14="Vermarktung",N14*D14*VLOOKUP(B14,'Daten Ernteprodukte'!$B$5:$Q$50,3,FALSE),0)))*E14</f>
        <v>0</v>
      </c>
      <c r="U14" s="458">
        <f>((IF(F14="Vermarktung",L14*D14,0))+(IF(G14="Vermarktung",D14*O14*VLOOKUP(B14,'Daten Ernteprodukte'!$B$5:$Q$50,3,FALSE),0)))*E14</f>
        <v>0</v>
      </c>
      <c r="V14" s="1290">
        <f>((IF(F14="Verwertung in eigener BGA",D14*J14,0))+IF(G14="Verwertung in eigener BGA",M14*D14*VLOOKUP(B14,'Daten Ernteprodukte'!$B$5:$Q$50,3,FALSE),0))*0.05*E14</f>
        <v>0</v>
      </c>
      <c r="W14" s="1290"/>
      <c r="X14" s="1290">
        <f>((IF(F14="Verwertung in eigener BGA",D14*J14*E14,0)+IF(G14="Verwertung in eigener BGA",M14*D14*VLOOKUP(B14,'Daten Ernteprodukte'!$B$5:$Q$50,3,FALSE)*E14,0))-V14)*0.05</f>
        <v>0</v>
      </c>
      <c r="Y14" s="1290"/>
      <c r="Z14" s="653">
        <f>(((IF(F14="Verwertung in eigener BGA",(J14*E14*D14),0))+IF(G14="Verwertung in eigener BGA",M14*D14*VLOOKUP(B14,'Daten Ernteprodukte'!$B$5:$Q$50,3,FALSE)*E14,0))-V14-X14)*0.1</f>
        <v>0</v>
      </c>
    </row>
    <row r="15" spans="1:26" s="5" customFormat="1">
      <c r="A15" s="900">
        <f>VLOOKUP(B15,'Daten Ernteprodukte'!$B$5:$C$96,2,FALSE)</f>
        <v>0</v>
      </c>
      <c r="B15" s="829" t="s">
        <v>163</v>
      </c>
      <c r="C15" s="830">
        <v>0</v>
      </c>
      <c r="D15" s="831">
        <v>0</v>
      </c>
      <c r="E15" s="832">
        <v>0</v>
      </c>
      <c r="F15" s="833" t="s">
        <v>547</v>
      </c>
      <c r="G15" s="890" t="s">
        <v>548</v>
      </c>
      <c r="H15" s="892"/>
      <c r="I15" s="891">
        <f>IF(VLOOKUP(B15,'Daten Ernteprodukte'!$B$5:$N$50,11,FALSE)=0,VLOOKUP(Pflanzenbau!B15,'Daten Ernteprodukte'!$B$5:$N$50,12,FALSE),VLOOKUP(Pflanzenbau!B15,'Daten Ernteprodukte'!$B$5:$N$50,11,FALSE)*Pflanzenbau!D15*E15)</f>
        <v>0</v>
      </c>
      <c r="J15" s="351">
        <f>IF(OR(A15=5.7),0.86*C15/5.7,IF(OR(A15=6.25),0.86*C15/6.25,VLOOKUP(Pflanzenbau!B15,'Daten Ernteprodukte'!$B$5:$K$50,8,FALSE)))</f>
        <v>0</v>
      </c>
      <c r="K15" s="351">
        <f>VLOOKUP($B15,'Daten Ernteprodukte'!$B$5:$N$50,9,FALSE)</f>
        <v>0</v>
      </c>
      <c r="L15" s="351">
        <f>VLOOKUP($B15,'Daten Ernteprodukte'!$B$5:$N$50,10,FALSE)</f>
        <v>0</v>
      </c>
      <c r="M15" s="454">
        <f>VLOOKUP(B15,'Daten Ernteprodukte'!$B$5:$Q$50,14,FALSE)</f>
        <v>0</v>
      </c>
      <c r="N15" s="454">
        <f>VLOOKUP(B15,'Daten Ernteprodukte'!$B$5:$Q$50,15,FALSE)</f>
        <v>0</v>
      </c>
      <c r="O15" s="454">
        <f>VLOOKUP(B15,'Daten Ernteprodukte'!$B$5:$Q$50,16,FALSE)</f>
        <v>0</v>
      </c>
      <c r="P15" s="454"/>
      <c r="Q15" s="455"/>
      <c r="R15" s="653">
        <f>((IF(F15="Verwertung in eigener BGA",J15*D15*0.95,0))+(IF(G15="Verwertung in eigener BGA",M15*D15*VLOOKUP(Pflanzenbau!B15,'Daten Ernteprodukte'!$B$5:$Q$50,3,FALSE)*0.95,0)))*E15</f>
        <v>0</v>
      </c>
      <c r="S15" s="456">
        <f>(IF(F15="Vermarktung",J15*D15,0)+(IF(G15="Vermarktung",M15*D15*VLOOKUP(B15,'Daten Ernteprodukte'!$B$5:$Q$50,3,FALSE),0)))*E15</f>
        <v>0</v>
      </c>
      <c r="T15" s="654">
        <f>((IF(F15="Vermarktung",K15*D15,0))+(IF(G15="Vermarktung",N15*D15*VLOOKUP(B15,'Daten Ernteprodukte'!$B$5:$Q$50,3,FALSE),0)))*E15</f>
        <v>0</v>
      </c>
      <c r="U15" s="458">
        <f>((IF(F15="Vermarktung",L15*D15,0))+(IF(G15="Vermarktung",D15*O15*VLOOKUP(B15,'Daten Ernteprodukte'!$B$5:$Q$50,3,FALSE),0)))*E15</f>
        <v>0</v>
      </c>
      <c r="V15" s="1290">
        <f>((IF(F15="Verwertung in eigener BGA",D15*J15,0))+IF(G15="Verwertung in eigener BGA",M15*D15*VLOOKUP(B15,'Daten Ernteprodukte'!$B$5:$Q$50,3,FALSE),0))*0.05*E15</f>
        <v>0</v>
      </c>
      <c r="W15" s="1290"/>
      <c r="X15" s="1290">
        <f>((IF(F15="Verwertung in eigener BGA",D15*J15*E15,0)+IF(G15="Verwertung in eigener BGA",M15*D15*VLOOKUP(B15,'Daten Ernteprodukte'!$B$5:$Q$50,3,FALSE)*E15,0))-V15)*0.05</f>
        <v>0</v>
      </c>
      <c r="Y15" s="1290"/>
      <c r="Z15" s="653">
        <f>(((IF(F15="Verwertung in eigener BGA",(J15*E15*D15),0))+IF(G15="Verwertung in eigener BGA",M15*D15*VLOOKUP(B15,'Daten Ernteprodukte'!$B$5:$Q$50,3,FALSE)*E15,0))-V15-X15)*0.1</f>
        <v>0</v>
      </c>
    </row>
    <row r="16" spans="1:26" s="5" customFormat="1">
      <c r="A16" s="900">
        <f>VLOOKUP(B16,'Daten Ernteprodukte'!$B$5:$C$96,2,FALSE)</f>
        <v>0</v>
      </c>
      <c r="B16" s="829" t="s">
        <v>163</v>
      </c>
      <c r="C16" s="830">
        <v>0</v>
      </c>
      <c r="D16" s="831">
        <v>0</v>
      </c>
      <c r="E16" s="832">
        <v>0</v>
      </c>
      <c r="F16" s="833" t="s">
        <v>547</v>
      </c>
      <c r="G16" s="890" t="s">
        <v>548</v>
      </c>
      <c r="H16" s="892"/>
      <c r="I16" s="891">
        <f>IF(VLOOKUP(B16,'Daten Ernteprodukte'!$B$5:$N$50,11,FALSE)=0,VLOOKUP(Pflanzenbau!B16,'Daten Ernteprodukte'!$B$5:$N$50,12,FALSE),VLOOKUP(Pflanzenbau!B16,'Daten Ernteprodukte'!$B$5:$N$50,11,FALSE)*Pflanzenbau!D16*E16)</f>
        <v>0</v>
      </c>
      <c r="J16" s="351">
        <f>IF(OR(A16=5.7),0.86*C16/5.7,IF(OR(A16=6.25),0.86*C16/6.25,VLOOKUP(Pflanzenbau!B16,'Daten Ernteprodukte'!$B$5:$K$50,8,FALSE)))</f>
        <v>0</v>
      </c>
      <c r="K16" s="351">
        <f>VLOOKUP($B16,'Daten Ernteprodukte'!$B$5:$N$50,9,FALSE)</f>
        <v>0</v>
      </c>
      <c r="L16" s="351">
        <f>VLOOKUP($B16,'Daten Ernteprodukte'!$B$5:$N$50,10,FALSE)</f>
        <v>0</v>
      </c>
      <c r="M16" s="454">
        <f>VLOOKUP(B16,'Daten Ernteprodukte'!$B$5:$Q$50,14,FALSE)</f>
        <v>0</v>
      </c>
      <c r="N16" s="454">
        <f>VLOOKUP(B16,'Daten Ernteprodukte'!$B$5:$Q$50,15,FALSE)</f>
        <v>0</v>
      </c>
      <c r="O16" s="454">
        <f>VLOOKUP(B16,'Daten Ernteprodukte'!$B$5:$Q$50,16,FALSE)</f>
        <v>0</v>
      </c>
      <c r="P16" s="454"/>
      <c r="Q16" s="455"/>
      <c r="R16" s="653">
        <f>((IF(F16="Verwertung in eigener BGA",J16*D16*0.95,0))+(IF(G16="Verwertung in eigener BGA",M16*D16*VLOOKUP(Pflanzenbau!B16,'Daten Ernteprodukte'!$B$5:$Q$50,3,FALSE)*0.95,0)))*E16</f>
        <v>0</v>
      </c>
      <c r="S16" s="456">
        <f>(IF(F16="Vermarktung",J16*D16,0)+(IF(G16="Vermarktung",M16*D16*VLOOKUP(B16,'Daten Ernteprodukte'!$B$5:$Q$50,3,FALSE),0)))*E16</f>
        <v>0</v>
      </c>
      <c r="T16" s="654">
        <f>((IF(F16="Vermarktung",K16*D16,0))+(IF(G16="Vermarktung",N16*D16*VLOOKUP(B16,'Daten Ernteprodukte'!$B$5:$Q$50,3,FALSE),0)))*E16</f>
        <v>0</v>
      </c>
      <c r="U16" s="458">
        <f>((IF(F16="Vermarktung",L16*D16,0))+(IF(G16="Vermarktung",D16*O16*VLOOKUP(B16,'Daten Ernteprodukte'!$B$5:$Q$50,3,FALSE),0)))*E16</f>
        <v>0</v>
      </c>
      <c r="V16" s="1290">
        <f>((IF(F16="Verwertung in eigener BGA",D16*J16,0))+IF(G16="Verwertung in eigener BGA",M16*D16*VLOOKUP(B16,'Daten Ernteprodukte'!$B$5:$Q$50,3,FALSE),0))*0.05*E16</f>
        <v>0</v>
      </c>
      <c r="W16" s="1290"/>
      <c r="X16" s="1290">
        <f>((IF(F16="Verwertung in eigener BGA",D16*J16*E16,0)+IF(G16="Verwertung in eigener BGA",M16*D16*VLOOKUP(B16,'Daten Ernteprodukte'!$B$5:$Q$50,3,FALSE)*E16,0))-V16)*0.05</f>
        <v>0</v>
      </c>
      <c r="Y16" s="1290"/>
      <c r="Z16" s="653">
        <f>(((IF(F16="Verwertung in eigener BGA",(J16*E16*D16),0))+IF(G16="Verwertung in eigener BGA",M16*D16*VLOOKUP(B16,'Daten Ernteprodukte'!$B$5:$Q$50,3,FALSE)*E16,0))-V16-X16)*0.1</f>
        <v>0</v>
      </c>
    </row>
    <row r="17" spans="1:29" s="5" customFormat="1">
      <c r="A17" s="900">
        <f>VLOOKUP(B17,'Daten Ernteprodukte'!$B$5:$C$96,2,FALSE)</f>
        <v>0</v>
      </c>
      <c r="B17" s="829" t="s">
        <v>163</v>
      </c>
      <c r="C17" s="830">
        <v>0</v>
      </c>
      <c r="D17" s="831">
        <v>0</v>
      </c>
      <c r="E17" s="832">
        <v>0</v>
      </c>
      <c r="F17" s="833" t="s">
        <v>547</v>
      </c>
      <c r="G17" s="890" t="s">
        <v>548</v>
      </c>
      <c r="H17" s="892"/>
      <c r="I17" s="891">
        <f>IF(VLOOKUP(B17,'Daten Ernteprodukte'!$B$5:$N$50,11,FALSE)=0,VLOOKUP(Pflanzenbau!B17,'Daten Ernteprodukte'!$B$5:$N$50,12,FALSE),VLOOKUP(Pflanzenbau!B17,'Daten Ernteprodukte'!$B$5:$N$50,11,FALSE)*Pflanzenbau!D17*E17)</f>
        <v>0</v>
      </c>
      <c r="J17" s="351">
        <f>IF(OR(A17=5.7),0.86*C17/5.7,IF(OR(A17=6.25),0.86*C17/6.25,VLOOKUP(Pflanzenbau!B17,'Daten Ernteprodukte'!$B$5:$K$50,8,FALSE)))</f>
        <v>0</v>
      </c>
      <c r="K17" s="351">
        <f>VLOOKUP($B17,'Daten Ernteprodukte'!$B$5:$N$50,9,FALSE)</f>
        <v>0</v>
      </c>
      <c r="L17" s="351">
        <f>VLOOKUP($B17,'Daten Ernteprodukte'!$B$5:$N$50,10,FALSE)</f>
        <v>0</v>
      </c>
      <c r="M17" s="454">
        <f>VLOOKUP(B17,'Daten Ernteprodukte'!$B$5:$Q$50,14,FALSE)</f>
        <v>0</v>
      </c>
      <c r="N17" s="454">
        <f>VLOOKUP(B17,'Daten Ernteprodukte'!$B$5:$Q$50,15,FALSE)</f>
        <v>0</v>
      </c>
      <c r="O17" s="454">
        <f>VLOOKUP(B17,'Daten Ernteprodukte'!$B$5:$Q$50,16,FALSE)</f>
        <v>0</v>
      </c>
      <c r="P17" s="454"/>
      <c r="Q17" s="455"/>
      <c r="R17" s="653">
        <f>((IF(F17="Verwertung in eigener BGA",J17*D17*0.95,0))+(IF(G17="Verwertung in eigener BGA",M17*D17*VLOOKUP(Pflanzenbau!B17,'Daten Ernteprodukte'!$B$5:$Q$50,3,FALSE)*0.95,0)))*E17</f>
        <v>0</v>
      </c>
      <c r="S17" s="456">
        <f>(IF(F17="Vermarktung",J17*D17,0)+(IF(G17="Vermarktung",M17*D17*VLOOKUP(B17,'Daten Ernteprodukte'!$B$5:$Q$50,3,FALSE),0)))*E17</f>
        <v>0</v>
      </c>
      <c r="T17" s="654">
        <f>((IF(F17="Vermarktung",K17*D17,0))+(IF(G17="Vermarktung",N17*D17*VLOOKUP(B17,'Daten Ernteprodukte'!$B$5:$Q$50,3,FALSE),0)))*E17</f>
        <v>0</v>
      </c>
      <c r="U17" s="458">
        <f>((IF(F17="Vermarktung",L17*D17,0))+(IF(G17="Vermarktung",D17*O17*VLOOKUP(B17,'Daten Ernteprodukte'!$B$5:$Q$50,3,FALSE),0)))*E17</f>
        <v>0</v>
      </c>
      <c r="V17" s="1290">
        <f>((IF(F17="Verwertung in eigener BGA",D17*J17,0))+IF(G17="Verwertung in eigener BGA",M17*D17*VLOOKUP(B17,'Daten Ernteprodukte'!$B$5:$Q$50,3,FALSE),0))*0.05*E17</f>
        <v>0</v>
      </c>
      <c r="W17" s="1290"/>
      <c r="X17" s="1290">
        <f>((IF(F17="Verwertung in eigener BGA",D17*J17*E17,0)+IF(G17="Verwertung in eigener BGA",M17*D17*VLOOKUP(B17,'Daten Ernteprodukte'!$B$5:$Q$50,3,FALSE)*E17,0))-V17)*0.05</f>
        <v>0</v>
      </c>
      <c r="Y17" s="1290"/>
      <c r="Z17" s="653">
        <f>(((IF(F17="Verwertung in eigener BGA",(J17*E17*D17),0))+IF(G17="Verwertung in eigener BGA",M17*D17*VLOOKUP(B17,'Daten Ernteprodukte'!$B$5:$Q$50,3,FALSE)*E17,0))-V17-X17)*0.1</f>
        <v>0</v>
      </c>
    </row>
    <row r="18" spans="1:29" s="5" customFormat="1">
      <c r="A18" s="900">
        <f>VLOOKUP(B18,'Daten Ernteprodukte'!$B$5:$C$96,2,FALSE)</f>
        <v>0</v>
      </c>
      <c r="B18" s="829" t="s">
        <v>163</v>
      </c>
      <c r="C18" s="830">
        <v>0</v>
      </c>
      <c r="D18" s="831">
        <v>0</v>
      </c>
      <c r="E18" s="832">
        <v>0</v>
      </c>
      <c r="F18" s="833" t="s">
        <v>547</v>
      </c>
      <c r="G18" s="890" t="s">
        <v>548</v>
      </c>
      <c r="H18" s="892"/>
      <c r="I18" s="891">
        <f>IF(VLOOKUP(B18,'Daten Ernteprodukte'!$B$5:$N$50,11,FALSE)=0,VLOOKUP(Pflanzenbau!B18,'Daten Ernteprodukte'!$B$5:$N$50,12,FALSE),VLOOKUP(Pflanzenbau!B18,'Daten Ernteprodukte'!$B$5:$N$50,11,FALSE)*Pflanzenbau!D18*E18)</f>
        <v>0</v>
      </c>
      <c r="J18" s="351">
        <f>IF(OR(A18=5.7),0.86*C18/5.7,IF(OR(A18=6.25),0.86*C18/6.25,VLOOKUP(Pflanzenbau!B18,'Daten Ernteprodukte'!$B$5:$K$50,8,FALSE)))</f>
        <v>0</v>
      </c>
      <c r="K18" s="351">
        <f>VLOOKUP($B18,'Daten Ernteprodukte'!$B$5:$N$50,9,FALSE)</f>
        <v>0</v>
      </c>
      <c r="L18" s="351">
        <f>VLOOKUP($B18,'Daten Ernteprodukte'!$B$5:$N$50,10,FALSE)</f>
        <v>0</v>
      </c>
      <c r="M18" s="454">
        <f>VLOOKUP(B18,'Daten Ernteprodukte'!$B$5:$Q$50,14,FALSE)</f>
        <v>0</v>
      </c>
      <c r="N18" s="454">
        <f>VLOOKUP(B18,'Daten Ernteprodukte'!$B$5:$Q$50,15,FALSE)</f>
        <v>0</v>
      </c>
      <c r="O18" s="454">
        <f>VLOOKUP(B18,'Daten Ernteprodukte'!$B$5:$Q$50,16,FALSE)</f>
        <v>0</v>
      </c>
      <c r="P18" s="454"/>
      <c r="Q18" s="455"/>
      <c r="R18" s="653">
        <f>((IF(F18="Verwertung in eigener BGA",J18*D18*0.95,0))+(IF(G18="Verwertung in eigener BGA",M18*D18*VLOOKUP(Pflanzenbau!B18,'Daten Ernteprodukte'!$B$5:$Q$50,3,FALSE)*0.95,0)))*E18</f>
        <v>0</v>
      </c>
      <c r="S18" s="456">
        <f>(IF(F18="Vermarktung",J18*D18,0)+(IF(G18="Vermarktung",M18*D18*VLOOKUP(B18,'Daten Ernteprodukte'!$B$5:$Q$50,3,FALSE),0)))*E18</f>
        <v>0</v>
      </c>
      <c r="T18" s="654">
        <f>((IF(F18="Vermarktung",K18*D18,0))+(IF(G18="Vermarktung",N18*D18*VLOOKUP(B18,'Daten Ernteprodukte'!$B$5:$Q$50,3,FALSE),0)))*E18</f>
        <v>0</v>
      </c>
      <c r="U18" s="458">
        <f>((IF(F18="Vermarktung",L18*D18,0))+(IF(G18="Vermarktung",D18*O18*VLOOKUP(B18,'Daten Ernteprodukte'!$B$5:$Q$50,3,FALSE),0)))*E18</f>
        <v>0</v>
      </c>
      <c r="V18" s="1290">
        <f>((IF(F18="Verwertung in eigener BGA",D18*J18,0))+IF(G18="Verwertung in eigener BGA",M18*D18*VLOOKUP(B18,'Daten Ernteprodukte'!$B$5:$Q$50,3,FALSE),0))*0.05*E18</f>
        <v>0</v>
      </c>
      <c r="W18" s="1290"/>
      <c r="X18" s="1290">
        <f>((IF(F18="Verwertung in eigener BGA",D18*J18*E18,0)+IF(G18="Verwertung in eigener BGA",M18*D18*VLOOKUP(B18,'Daten Ernteprodukte'!$B$5:$Q$50,3,FALSE)*E18,0))-V18)*0.05</f>
        <v>0</v>
      </c>
      <c r="Y18" s="1290"/>
      <c r="Z18" s="653">
        <f>(((IF(F18="Verwertung in eigener BGA",(J18*E18*D18),0))+IF(G18="Verwertung in eigener BGA",M18*D18*VLOOKUP(B18,'Daten Ernteprodukte'!$B$5:$Q$50,3,FALSE)*E18,0))-V18-X18)*0.1</f>
        <v>0</v>
      </c>
    </row>
    <row r="19" spans="1:29" s="5" customFormat="1">
      <c r="A19" s="900">
        <f>VLOOKUP(B19,'Daten Ernteprodukte'!$B$5:$C$96,2,FALSE)</f>
        <v>0</v>
      </c>
      <c r="B19" s="829" t="s">
        <v>163</v>
      </c>
      <c r="C19" s="830">
        <v>0</v>
      </c>
      <c r="D19" s="831">
        <v>0</v>
      </c>
      <c r="E19" s="832">
        <v>0</v>
      </c>
      <c r="F19" s="833" t="s">
        <v>547</v>
      </c>
      <c r="G19" s="890" t="s">
        <v>548</v>
      </c>
      <c r="H19" s="892"/>
      <c r="I19" s="891">
        <f>IF(VLOOKUP(B19,'Daten Ernteprodukte'!$B$5:$N$50,11,FALSE)=0,VLOOKUP(Pflanzenbau!B19,'Daten Ernteprodukte'!$B$5:$N$50,12,FALSE),VLOOKUP(Pflanzenbau!B19,'Daten Ernteprodukte'!$B$5:$N$50,11,FALSE)*Pflanzenbau!D19*E19)</f>
        <v>0</v>
      </c>
      <c r="J19" s="351">
        <f>IF(OR(A19=5.7),0.86*C19/5.7,IF(OR(A19=6.25),0.86*C19/6.25,VLOOKUP(Pflanzenbau!B19,'Daten Ernteprodukte'!$B$5:$K$50,8,FALSE)))</f>
        <v>0</v>
      </c>
      <c r="K19" s="351">
        <f>VLOOKUP($B19,'Daten Ernteprodukte'!$B$5:$N$50,9,FALSE)</f>
        <v>0</v>
      </c>
      <c r="L19" s="351">
        <f>VLOOKUP($B19,'Daten Ernteprodukte'!$B$5:$N$50,10,FALSE)</f>
        <v>0</v>
      </c>
      <c r="M19" s="454">
        <f>VLOOKUP(B19,'Daten Ernteprodukte'!$B$5:$Q$50,14,FALSE)</f>
        <v>0</v>
      </c>
      <c r="N19" s="454">
        <f>VLOOKUP(B19,'Daten Ernteprodukte'!$B$5:$Q$50,15,FALSE)</f>
        <v>0</v>
      </c>
      <c r="O19" s="454">
        <f>VLOOKUP(B19,'Daten Ernteprodukte'!$B$5:$Q$50,16,FALSE)</f>
        <v>0</v>
      </c>
      <c r="P19" s="454"/>
      <c r="Q19" s="455"/>
      <c r="R19" s="653">
        <f>((IF(F19="Verwertung in eigener BGA",J19*D19*0.95,0))+(IF(G19="Verwertung in eigener BGA",M19*D19*VLOOKUP(Pflanzenbau!B19,'Daten Ernteprodukte'!$B$5:$Q$50,3,FALSE)*0.95,0)))*E19</f>
        <v>0</v>
      </c>
      <c r="S19" s="456">
        <f>(IF(F19="Vermarktung",J19*D19,0)+(IF(G19="Vermarktung",M19*D19*VLOOKUP(B19,'Daten Ernteprodukte'!$B$5:$Q$50,3,FALSE),0)))*E19</f>
        <v>0</v>
      </c>
      <c r="T19" s="654">
        <f>((IF(F19="Vermarktung",K19*D19,0))+(IF(G19="Vermarktung",N19*D19*VLOOKUP(B19,'Daten Ernteprodukte'!$B$5:$Q$50,3,FALSE),0)))*E19</f>
        <v>0</v>
      </c>
      <c r="U19" s="458">
        <f>((IF(F19="Vermarktung",L19*D19,0))+(IF(G19="Vermarktung",D19*O19*VLOOKUP(B19,'Daten Ernteprodukte'!$B$5:$Q$50,3,FALSE),0)))*E19</f>
        <v>0</v>
      </c>
      <c r="V19" s="1290">
        <f>((IF(F19="Verwertung in eigener BGA",D19*J19,0))+IF(G19="Verwertung in eigener BGA",M19*D19*VLOOKUP(B19,'Daten Ernteprodukte'!$B$5:$Q$50,3,FALSE),0))*0.05*E19</f>
        <v>0</v>
      </c>
      <c r="W19" s="1290"/>
      <c r="X19" s="1290">
        <f>((IF(F19="Verwertung in eigener BGA",D19*J19*E19,0)+IF(G19="Verwertung in eigener BGA",M19*D19*VLOOKUP(B19,'Daten Ernteprodukte'!$B$5:$Q$50,3,FALSE)*E19,0))-V19)*0.05</f>
        <v>0</v>
      </c>
      <c r="Y19" s="1290"/>
      <c r="Z19" s="653">
        <f>(((IF(F19="Verwertung in eigener BGA",(J19*E19*D19),0))+IF(G19="Verwertung in eigener BGA",M19*D19*VLOOKUP(B19,'Daten Ernteprodukte'!$B$5:$Q$50,3,FALSE)*E19,0))-V19-X19)*0.1</f>
        <v>0</v>
      </c>
    </row>
    <row r="20" spans="1:29" s="5" customFormat="1">
      <c r="A20" s="900">
        <f>VLOOKUP(B20,'Daten Ernteprodukte'!$B$5:$C$96,2,FALSE)</f>
        <v>0</v>
      </c>
      <c r="B20" s="829" t="s">
        <v>163</v>
      </c>
      <c r="C20" s="830">
        <v>0</v>
      </c>
      <c r="D20" s="831">
        <v>0</v>
      </c>
      <c r="E20" s="832">
        <v>0</v>
      </c>
      <c r="F20" s="833" t="s">
        <v>547</v>
      </c>
      <c r="G20" s="890" t="s">
        <v>548</v>
      </c>
      <c r="H20" s="892"/>
      <c r="I20" s="891">
        <f>IF(VLOOKUP(B20,'Daten Ernteprodukte'!$B$5:$N$50,11,FALSE)=0,VLOOKUP(Pflanzenbau!B20,'Daten Ernteprodukte'!$B$5:$N$50,12,FALSE),VLOOKUP(Pflanzenbau!B20,'Daten Ernteprodukte'!$B$5:$N$50,11,FALSE)*Pflanzenbau!D20*E20)</f>
        <v>0</v>
      </c>
      <c r="J20" s="351">
        <f>IF(OR(A20=5.7),0.86*C20/5.7,IF(OR(A20=6.25),0.86*C20/6.25,VLOOKUP(Pflanzenbau!B20,'Daten Ernteprodukte'!$B$5:$K$50,8,FALSE)))</f>
        <v>0</v>
      </c>
      <c r="K20" s="351">
        <f>VLOOKUP($B20,'Daten Ernteprodukte'!$B$5:$N$50,9,FALSE)</f>
        <v>0</v>
      </c>
      <c r="L20" s="351">
        <f>VLOOKUP($B20,'Daten Ernteprodukte'!$B$5:$N$50,10,FALSE)</f>
        <v>0</v>
      </c>
      <c r="M20" s="454">
        <f>VLOOKUP(B20,'Daten Ernteprodukte'!$B$5:$Q$50,14,FALSE)</f>
        <v>0</v>
      </c>
      <c r="N20" s="454">
        <f>VLOOKUP(B20,'Daten Ernteprodukte'!$B$5:$Q$50,15,FALSE)</f>
        <v>0</v>
      </c>
      <c r="O20" s="454">
        <f>VLOOKUP(B20,'Daten Ernteprodukte'!$B$5:$Q$50,16,FALSE)</f>
        <v>0</v>
      </c>
      <c r="P20" s="454"/>
      <c r="Q20" s="455"/>
      <c r="R20" s="653">
        <f>((IF(F20="Verwertung in eigener BGA",J20*D20*0.95,0))+(IF(G20="Verwertung in eigener BGA",M20*D20*VLOOKUP(Pflanzenbau!B20,'Daten Ernteprodukte'!$B$5:$Q$50,3,FALSE)*0.95,0)))*E20</f>
        <v>0</v>
      </c>
      <c r="S20" s="456">
        <f>(IF(F20="Vermarktung",J20*D20,0)+(IF(G20="Vermarktung",M20*D20*VLOOKUP(B20,'Daten Ernteprodukte'!$B$5:$Q$50,3,FALSE),0)))*E20</f>
        <v>0</v>
      </c>
      <c r="T20" s="654">
        <f>((IF(F20="Vermarktung",K20*D20,0))+(IF(G20="Vermarktung",N20*D20*VLOOKUP(B20,'Daten Ernteprodukte'!$B$5:$Q$50,3,FALSE),0)))*E20</f>
        <v>0</v>
      </c>
      <c r="U20" s="458">
        <f>((IF(F20="Vermarktung",L20*D20,0))+(IF(G20="Vermarktung",D20*O20*VLOOKUP(B20,'Daten Ernteprodukte'!$B$5:$Q$50,3,FALSE),0)))*E20</f>
        <v>0</v>
      </c>
      <c r="V20" s="1290">
        <f>((IF(F20="Verwertung in eigener BGA",D20*J20,0))+IF(G20="Verwertung in eigener BGA",M20*D20*VLOOKUP(B20,'Daten Ernteprodukte'!$B$5:$Q$50,3,FALSE),0))*0.05*E20</f>
        <v>0</v>
      </c>
      <c r="W20" s="1290"/>
      <c r="X20" s="1290">
        <f>((IF(F20="Verwertung in eigener BGA",D20*J20*E20,0)+IF(G20="Verwertung in eigener BGA",M20*D20*VLOOKUP(B20,'Daten Ernteprodukte'!$B$5:$Q$50,3,FALSE)*E20,0))-V20)*0.05</f>
        <v>0</v>
      </c>
      <c r="Y20" s="1290"/>
      <c r="Z20" s="653">
        <f>(((IF(F20="Verwertung in eigener BGA",(J20*E20*D20),0))+IF(G20="Verwertung in eigener BGA",M20*D20*VLOOKUP(B20,'Daten Ernteprodukte'!$B$5:$Q$50,3,FALSE)*E20,0))-V20-X20)*0.1</f>
        <v>0</v>
      </c>
    </row>
    <row r="21" spans="1:29" s="5" customFormat="1">
      <c r="A21" s="900">
        <f>VLOOKUP(B21,'Daten Ernteprodukte'!$B$5:$C$96,2,FALSE)</f>
        <v>0</v>
      </c>
      <c r="B21" s="829" t="s">
        <v>163</v>
      </c>
      <c r="C21" s="830">
        <v>0</v>
      </c>
      <c r="D21" s="831">
        <v>0</v>
      </c>
      <c r="E21" s="832">
        <v>0</v>
      </c>
      <c r="F21" s="833" t="s">
        <v>547</v>
      </c>
      <c r="G21" s="890" t="s">
        <v>548</v>
      </c>
      <c r="H21" s="892"/>
      <c r="I21" s="891">
        <f>IF(VLOOKUP(B21,'Daten Ernteprodukte'!$B$5:$N$50,11,FALSE)=0,VLOOKUP(Pflanzenbau!B21,'Daten Ernteprodukte'!$B$5:$N$50,12,FALSE),VLOOKUP(Pflanzenbau!B21,'Daten Ernteprodukte'!$B$5:$N$50,11,FALSE)*Pflanzenbau!D21*E21)</f>
        <v>0</v>
      </c>
      <c r="J21" s="351">
        <f>IF(OR(A21=5.7),0.86*C21/5.7,IF(OR(A21=6.25),0.86*C21/6.25,VLOOKUP(Pflanzenbau!B21,'Daten Ernteprodukte'!$B$5:$K$50,8,FALSE)))</f>
        <v>0</v>
      </c>
      <c r="K21" s="351">
        <f>VLOOKUP($B21,'Daten Ernteprodukte'!$B$5:$N$50,9,FALSE)</f>
        <v>0</v>
      </c>
      <c r="L21" s="351">
        <f>VLOOKUP($B21,'Daten Ernteprodukte'!$B$5:$N$50,10,FALSE)</f>
        <v>0</v>
      </c>
      <c r="M21" s="454">
        <f>VLOOKUP(B21,'Daten Ernteprodukte'!$B$5:$Q$50,14,FALSE)</f>
        <v>0</v>
      </c>
      <c r="N21" s="454">
        <f>VLOOKUP(B21,'Daten Ernteprodukte'!$B$5:$Q$50,15,FALSE)</f>
        <v>0</v>
      </c>
      <c r="O21" s="454">
        <f>VLOOKUP(B21,'Daten Ernteprodukte'!$B$5:$Q$50,16,FALSE)</f>
        <v>0</v>
      </c>
      <c r="P21" s="454"/>
      <c r="Q21" s="455"/>
      <c r="R21" s="653">
        <f>((IF(F21="Verwertung in eigener BGA",J21*D21*0.95,0))+(IF(G21="Verwertung in eigener BGA",M21*D21*VLOOKUP(Pflanzenbau!B21,'Daten Ernteprodukte'!$B$5:$Q$50,3,FALSE)*0.95,0)))*E21</f>
        <v>0</v>
      </c>
      <c r="S21" s="456">
        <f>(IF(F21="Vermarktung",J21*D21,0)+(IF(G21="Vermarktung",M21*D21*VLOOKUP(B21,'Daten Ernteprodukte'!$B$5:$Q$50,3,FALSE),0)))*E21</f>
        <v>0</v>
      </c>
      <c r="T21" s="654">
        <f>((IF(F21="Vermarktung",K21*D21,0))+(IF(G21="Vermarktung",N21*D21*VLOOKUP(B21,'Daten Ernteprodukte'!$B$5:$Q$50,3,FALSE),0)))*E21</f>
        <v>0</v>
      </c>
      <c r="U21" s="458">
        <f>((IF(F21="Vermarktung",L21*D21,0))+(IF(G21="Vermarktung",D21*O21*VLOOKUP(B21,'Daten Ernteprodukte'!$B$5:$Q$50,3,FALSE),0)))*E21</f>
        <v>0</v>
      </c>
      <c r="V21" s="1290">
        <f>((IF(F21="Verwertung in eigener BGA",D21*J21,0))+IF(G21="Verwertung in eigener BGA",M21*D21*VLOOKUP(B21,'Daten Ernteprodukte'!$B$5:$Q$50,3,FALSE),0))*0.05*E21</f>
        <v>0</v>
      </c>
      <c r="W21" s="1290"/>
      <c r="X21" s="1290">
        <f>((IF(F21="Verwertung in eigener BGA",D21*J21*E21,0)+IF(G21="Verwertung in eigener BGA",M21*D21*VLOOKUP(B21,'Daten Ernteprodukte'!$B$5:$Q$50,3,FALSE)*E21,0))-V21)*0.05</f>
        <v>0</v>
      </c>
      <c r="Y21" s="1290"/>
      <c r="Z21" s="653">
        <f>(((IF(F21="Verwertung in eigener BGA",(J21*E21*D21),0))+IF(G21="Verwertung in eigener BGA",M21*D21*VLOOKUP(B21,'Daten Ernteprodukte'!$B$5:$Q$50,3,FALSE)*E21,0))-V21-X21)*0.1</f>
        <v>0</v>
      </c>
    </row>
    <row r="22" spans="1:29" s="5" customFormat="1">
      <c r="A22" s="900">
        <f>VLOOKUP(B22,'Daten Ernteprodukte'!$B$5:$C$96,2,FALSE)</f>
        <v>0</v>
      </c>
      <c r="B22" s="829" t="s">
        <v>163</v>
      </c>
      <c r="C22" s="830">
        <v>0</v>
      </c>
      <c r="D22" s="831">
        <v>0</v>
      </c>
      <c r="E22" s="832">
        <v>0</v>
      </c>
      <c r="F22" s="833" t="s">
        <v>547</v>
      </c>
      <c r="G22" s="890" t="s">
        <v>548</v>
      </c>
      <c r="H22" s="892"/>
      <c r="I22" s="891">
        <f>IF(VLOOKUP(B22,'Daten Ernteprodukte'!$B$5:$N$50,11,FALSE)=0,VLOOKUP(Pflanzenbau!B22,'Daten Ernteprodukte'!$B$5:$N$50,12,FALSE),VLOOKUP(Pflanzenbau!B22,'Daten Ernteprodukte'!$B$5:$N$50,11,FALSE)*Pflanzenbau!D22*E22)</f>
        <v>0</v>
      </c>
      <c r="J22" s="351">
        <f>IF(OR(A22=5.7),0.86*C22/5.7,IF(OR(A22=6.25),0.86*C22/6.25,VLOOKUP(Pflanzenbau!B22,'Daten Ernteprodukte'!$B$5:$K$50,8,FALSE)))</f>
        <v>0</v>
      </c>
      <c r="K22" s="351">
        <f>VLOOKUP($B22,'Daten Ernteprodukte'!$B$5:$N$50,9,FALSE)</f>
        <v>0</v>
      </c>
      <c r="L22" s="351">
        <f>VLOOKUP($B22,'Daten Ernteprodukte'!$B$5:$N$50,10,FALSE)</f>
        <v>0</v>
      </c>
      <c r="M22" s="454">
        <f>VLOOKUP(B22,'Daten Ernteprodukte'!$B$5:$Q$50,14,FALSE)</f>
        <v>0</v>
      </c>
      <c r="N22" s="454">
        <f>VLOOKUP(B22,'Daten Ernteprodukte'!$B$5:$Q$50,15,FALSE)</f>
        <v>0</v>
      </c>
      <c r="O22" s="454">
        <f>VLOOKUP(B22,'Daten Ernteprodukte'!$B$5:$Q$50,16,FALSE)</f>
        <v>0</v>
      </c>
      <c r="P22" s="454"/>
      <c r="Q22" s="455"/>
      <c r="R22" s="653">
        <f>((IF(F22="Verwertung in eigener BGA",J22*D22*0.95,0))+(IF(G22="Verwertung in eigener BGA",M22*D22*VLOOKUP(Pflanzenbau!B22,'Daten Ernteprodukte'!$B$5:$Q$50,3,FALSE)*0.95,0)))*E22</f>
        <v>0</v>
      </c>
      <c r="S22" s="456">
        <f>(IF(F22="Vermarktung",J22*D22,0)+(IF(G22="Vermarktung",M22*D22*VLOOKUP(B22,'Daten Ernteprodukte'!$B$5:$Q$50,3,FALSE),0)))*E22</f>
        <v>0</v>
      </c>
      <c r="T22" s="654">
        <f>((IF(F22="Vermarktung",K22*D22,0))+(IF(G22="Vermarktung",N22*D22*VLOOKUP(B22,'Daten Ernteprodukte'!$B$5:$Q$50,3,FALSE),0)))*E22</f>
        <v>0</v>
      </c>
      <c r="U22" s="458">
        <f>((IF(F22="Vermarktung",L22*D22,0))+(IF(G22="Vermarktung",D22*O22*VLOOKUP(B22,'Daten Ernteprodukte'!$B$5:$Q$50,3,FALSE),0)))*E22</f>
        <v>0</v>
      </c>
      <c r="V22" s="1290">
        <f>((IF(F22="Verwertung in eigener BGA",D22*J22,0))+IF(G22="Verwertung in eigener BGA",M22*D22*VLOOKUP(B22,'Daten Ernteprodukte'!$B$5:$Q$50,3,FALSE),0))*0.05*E22</f>
        <v>0</v>
      </c>
      <c r="W22" s="1290"/>
      <c r="X22" s="1290">
        <f>((IF(F22="Verwertung in eigener BGA",D22*J22*E22,0)+IF(G22="Verwertung in eigener BGA",M22*D22*VLOOKUP(B22,'Daten Ernteprodukte'!$B$5:$Q$50,3,FALSE)*E22,0))-V22)*0.05</f>
        <v>0</v>
      </c>
      <c r="Y22" s="1290"/>
      <c r="Z22" s="653">
        <f>(((IF(F22="Verwertung in eigener BGA",(J22*E22*D22),0))+IF(G22="Verwertung in eigener BGA",M22*D22*VLOOKUP(B22,'Daten Ernteprodukte'!$B$5:$Q$50,3,FALSE)*E22,0))-V22-X22)*0.1</f>
        <v>0</v>
      </c>
    </row>
    <row r="23" spans="1:29" s="5" customFormat="1">
      <c r="A23" s="900">
        <f>VLOOKUP(B23,'Daten Ernteprodukte'!$B$5:$C$96,2,FALSE)</f>
        <v>0</v>
      </c>
      <c r="B23" s="829" t="s">
        <v>163</v>
      </c>
      <c r="C23" s="830">
        <v>0</v>
      </c>
      <c r="D23" s="831">
        <v>0</v>
      </c>
      <c r="E23" s="832">
        <v>0</v>
      </c>
      <c r="F23" s="833" t="s">
        <v>547</v>
      </c>
      <c r="G23" s="890" t="s">
        <v>548</v>
      </c>
      <c r="H23" s="892"/>
      <c r="I23" s="891">
        <f>IF(VLOOKUP(B23,'Daten Ernteprodukte'!$B$5:$N$50,11,FALSE)=0,VLOOKUP(Pflanzenbau!B23,'Daten Ernteprodukte'!$B$5:$N$50,12,FALSE),VLOOKUP(Pflanzenbau!B23,'Daten Ernteprodukte'!$B$5:$N$50,11,FALSE)*Pflanzenbau!D23*E23)</f>
        <v>0</v>
      </c>
      <c r="J23" s="351">
        <f>IF(OR(A23=5.7),0.86*C23/5.7,IF(OR(A23=6.25),0.86*C23/6.25,VLOOKUP(Pflanzenbau!B23,'Daten Ernteprodukte'!$B$5:$K$50,8,FALSE)))</f>
        <v>0</v>
      </c>
      <c r="K23" s="351">
        <f>VLOOKUP($B23,'Daten Ernteprodukte'!$B$5:$N$50,9,FALSE)</f>
        <v>0</v>
      </c>
      <c r="L23" s="351">
        <f>VLOOKUP($B23,'Daten Ernteprodukte'!$B$5:$N$50,10,FALSE)</f>
        <v>0</v>
      </c>
      <c r="M23" s="454">
        <f>VLOOKUP(B23,'Daten Ernteprodukte'!$B$5:$Q$50,14,FALSE)</f>
        <v>0</v>
      </c>
      <c r="N23" s="454">
        <f>VLOOKUP(B23,'Daten Ernteprodukte'!$B$5:$Q$50,15,FALSE)</f>
        <v>0</v>
      </c>
      <c r="O23" s="454">
        <f>VLOOKUP(B23,'Daten Ernteprodukte'!$B$5:$Q$50,16,FALSE)</f>
        <v>0</v>
      </c>
      <c r="P23" s="454"/>
      <c r="Q23" s="455"/>
      <c r="R23" s="653">
        <f>((IF(F23="Verwertung in eigener BGA",J23*D23*0.95,0))+(IF(G23="Verwertung in eigener BGA",M23*D23*VLOOKUP(Pflanzenbau!B23,'Daten Ernteprodukte'!$B$5:$Q$50,3,FALSE)*0.95,0)))*E23</f>
        <v>0</v>
      </c>
      <c r="S23" s="456">
        <f>(IF(F23="Vermarktung",J23*D23,0)+(IF(G23="Vermarktung",M23*D23*VLOOKUP(B23,'Daten Ernteprodukte'!$B$5:$Q$50,3,FALSE),0)))*E23</f>
        <v>0</v>
      </c>
      <c r="T23" s="654">
        <f>((IF(F23="Vermarktung",K23*D23,0))+(IF(G23="Vermarktung",N23*D23*VLOOKUP(B23,'Daten Ernteprodukte'!$B$5:$Q$50,3,FALSE),0)))*E23</f>
        <v>0</v>
      </c>
      <c r="U23" s="458">
        <f>((IF(F23="Vermarktung",L23*D23,0))+(IF(G23="Vermarktung",D23*O23*VLOOKUP(B23,'Daten Ernteprodukte'!$B$5:$Q$50,3,FALSE),0)))*E23</f>
        <v>0</v>
      </c>
      <c r="V23" s="1290">
        <f>((IF(F23="Verwertung in eigener BGA",D23*J23,0))+IF(G23="Verwertung in eigener BGA",M23*D23*VLOOKUP(B23,'Daten Ernteprodukte'!$B$5:$Q$50,3,FALSE),0))*0.05*E23</f>
        <v>0</v>
      </c>
      <c r="W23" s="1290"/>
      <c r="X23" s="1290">
        <f>((IF(F23="Verwertung in eigener BGA",D23*J23*E23,0)+IF(G23="Verwertung in eigener BGA",M23*D23*VLOOKUP(B23,'Daten Ernteprodukte'!$B$5:$Q$50,3,FALSE)*E23,0))-V23)*0.05</f>
        <v>0</v>
      </c>
      <c r="Y23" s="1290"/>
      <c r="Z23" s="653">
        <f>(((IF(F23="Verwertung in eigener BGA",(J23*E23*D23),0))+IF(G23="Verwertung in eigener BGA",M23*D23*VLOOKUP(B23,'Daten Ernteprodukte'!$B$5:$Q$50,3,FALSE)*E23,0))-V23-X23)*0.1</f>
        <v>0</v>
      </c>
    </row>
    <row r="24" spans="1:29" s="5" customFormat="1">
      <c r="A24" s="900">
        <f>VLOOKUP(B24,'Daten Ernteprodukte'!$B$5:$C$96,2,FALSE)</f>
        <v>0</v>
      </c>
      <c r="B24" s="829" t="s">
        <v>163</v>
      </c>
      <c r="C24" s="830">
        <v>0</v>
      </c>
      <c r="D24" s="831">
        <v>0</v>
      </c>
      <c r="E24" s="832">
        <v>0</v>
      </c>
      <c r="F24" s="833" t="s">
        <v>547</v>
      </c>
      <c r="G24" s="890" t="s">
        <v>548</v>
      </c>
      <c r="H24" s="892"/>
      <c r="I24" s="891">
        <f>IF(VLOOKUP(B24,'Daten Ernteprodukte'!$B$5:$N$50,11,FALSE)=0,VLOOKUP(Pflanzenbau!B24,'Daten Ernteprodukte'!$B$5:$N$50,12,FALSE),VLOOKUP(Pflanzenbau!B24,'Daten Ernteprodukte'!$B$5:$N$50,11,FALSE)*Pflanzenbau!D24*E24)</f>
        <v>0</v>
      </c>
      <c r="J24" s="351">
        <f>IF(OR(A24=5.7),0.86*C24/5.7,IF(OR(A24=6.25),0.86*C24/6.25,VLOOKUP(Pflanzenbau!B24,'Daten Ernteprodukte'!$B$5:$K$50,8,FALSE)))</f>
        <v>0</v>
      </c>
      <c r="K24" s="351">
        <f>VLOOKUP($B24,'Daten Ernteprodukte'!$B$5:$N$50,9,FALSE)</f>
        <v>0</v>
      </c>
      <c r="L24" s="351">
        <f>VLOOKUP($B24,'Daten Ernteprodukte'!$B$5:$N$50,10,FALSE)</f>
        <v>0</v>
      </c>
      <c r="M24" s="454">
        <f>VLOOKUP(B24,'Daten Ernteprodukte'!$B$5:$Q$50,14,FALSE)</f>
        <v>0</v>
      </c>
      <c r="N24" s="454">
        <f>VLOOKUP(B24,'Daten Ernteprodukte'!$B$5:$Q$50,15,FALSE)</f>
        <v>0</v>
      </c>
      <c r="O24" s="454">
        <f>VLOOKUP(B24,'Daten Ernteprodukte'!$B$5:$Q$50,16,FALSE)</f>
        <v>0</v>
      </c>
      <c r="P24" s="454"/>
      <c r="Q24" s="455"/>
      <c r="R24" s="653">
        <f>((IF(F24="Verwertung in eigener BGA",J24*D24*0.95,0))+(IF(G24="Verwertung in eigener BGA",M24*D24*VLOOKUP(Pflanzenbau!B24,'Daten Ernteprodukte'!$B$5:$Q$50,3,FALSE)*0.95,0)))*E24</f>
        <v>0</v>
      </c>
      <c r="S24" s="456">
        <f>(IF(F24="Vermarktung",J24*D24,0)+(IF(G24="Vermarktung",M24*D24*VLOOKUP(B24,'Daten Ernteprodukte'!$B$5:$Q$50,3,FALSE),0)))*E24</f>
        <v>0</v>
      </c>
      <c r="T24" s="654">
        <f>((IF(F24="Vermarktung",K24*D24,0))+(IF(G24="Vermarktung",N24*D24*VLOOKUP(B24,'Daten Ernteprodukte'!$B$5:$Q$50,3,FALSE),0)))*E24</f>
        <v>0</v>
      </c>
      <c r="U24" s="458">
        <f>((IF(F24="Vermarktung",L24*D24,0))+(IF(G24="Vermarktung",D24*O24*VLOOKUP(B24,'Daten Ernteprodukte'!$B$5:$Q$50,3,FALSE),0)))*E24</f>
        <v>0</v>
      </c>
      <c r="V24" s="1290">
        <f>((IF(F24="Verwertung in eigener BGA",D24*J24,0))+IF(G24="Verwertung in eigener BGA",M24*D24*VLOOKUP(B24,'Daten Ernteprodukte'!$B$5:$Q$50,3,FALSE),0))*0.05*E24</f>
        <v>0</v>
      </c>
      <c r="W24" s="1290"/>
      <c r="X24" s="1290">
        <f>((IF(F24="Verwertung in eigener BGA",D24*J24*E24,0)+IF(G24="Verwertung in eigener BGA",M24*D24*VLOOKUP(B24,'Daten Ernteprodukte'!$B$5:$Q$50,3,FALSE)*E24,0))-V24)*0.05</f>
        <v>0</v>
      </c>
      <c r="Y24" s="1290"/>
      <c r="Z24" s="653">
        <f>(((IF(F24="Verwertung in eigener BGA",(J24*E24*D24),0))+IF(G24="Verwertung in eigener BGA",M24*D24*VLOOKUP(B24,'Daten Ernteprodukte'!$B$5:$Q$50,3,FALSE)*E24,0))-V24-X24)*0.1</f>
        <v>0</v>
      </c>
    </row>
    <row r="25" spans="1:29" s="5" customFormat="1">
      <c r="A25" s="900">
        <f>VLOOKUP(B25,'Daten Ernteprodukte'!$B$5:$C$96,2,FALSE)</f>
        <v>0</v>
      </c>
      <c r="B25" s="829" t="s">
        <v>163</v>
      </c>
      <c r="C25" s="830">
        <v>0</v>
      </c>
      <c r="D25" s="831">
        <v>0</v>
      </c>
      <c r="E25" s="832">
        <v>0</v>
      </c>
      <c r="F25" s="833" t="s">
        <v>547</v>
      </c>
      <c r="G25" s="890" t="s">
        <v>548</v>
      </c>
      <c r="H25" s="892"/>
      <c r="I25" s="891">
        <f>IF(VLOOKUP(B25,'Daten Ernteprodukte'!$B$5:$N$50,11,FALSE)=0,VLOOKUP(Pflanzenbau!B25,'Daten Ernteprodukte'!$B$5:$N$50,12,FALSE),VLOOKUP(Pflanzenbau!B25,'Daten Ernteprodukte'!$B$5:$N$50,11,FALSE)*Pflanzenbau!D25*E25)</f>
        <v>0</v>
      </c>
      <c r="J25" s="351">
        <f>IF(OR(A25=5.7),0.86*C25/5.7,IF(OR(A25=6.25),0.86*C25/6.25,VLOOKUP(Pflanzenbau!B25,'Daten Ernteprodukte'!$B$5:$K$50,8,FALSE)))</f>
        <v>0</v>
      </c>
      <c r="K25" s="351">
        <f>VLOOKUP($B25,'Daten Ernteprodukte'!$B$5:$N$50,9,FALSE)</f>
        <v>0</v>
      </c>
      <c r="L25" s="351">
        <f>VLOOKUP($B25,'Daten Ernteprodukte'!$B$5:$N$50,10,FALSE)</f>
        <v>0</v>
      </c>
      <c r="M25" s="454">
        <f>VLOOKUP(B25,'Daten Ernteprodukte'!$B$5:$Q$50,14,FALSE)</f>
        <v>0</v>
      </c>
      <c r="N25" s="454">
        <f>VLOOKUP(B25,'Daten Ernteprodukte'!$B$5:$Q$50,15,FALSE)</f>
        <v>0</v>
      </c>
      <c r="O25" s="454">
        <f>VLOOKUP(B25,'Daten Ernteprodukte'!$B$5:$Q$50,16,FALSE)</f>
        <v>0</v>
      </c>
      <c r="P25" s="454"/>
      <c r="Q25" s="455"/>
      <c r="R25" s="653">
        <f>((IF(F25="Verwertung in eigener BGA",J25*D25*0.95,0))+(IF(G25="Verwertung in eigener BGA",M25*D25*VLOOKUP(Pflanzenbau!B25,'Daten Ernteprodukte'!$B$5:$Q$50,3,FALSE)*0.95,0)))*E25</f>
        <v>0</v>
      </c>
      <c r="S25" s="456">
        <f>(IF(F25="Vermarktung",J25*D25,0)+(IF(G25="Vermarktung",M25*D25*VLOOKUP(B25,'Daten Ernteprodukte'!$B$5:$Q$50,3,FALSE),0)))*E25</f>
        <v>0</v>
      </c>
      <c r="T25" s="654">
        <f>((IF(F25="Vermarktung",K25*D25,0))+(IF(G25="Vermarktung",N25*D25*VLOOKUP(B25,'Daten Ernteprodukte'!$B$5:$Q$50,3,FALSE),0)))*E25</f>
        <v>0</v>
      </c>
      <c r="U25" s="458">
        <f>((IF(F25="Vermarktung",L25*D25,0))+(IF(G25="Vermarktung",D25*O25*VLOOKUP(B25,'Daten Ernteprodukte'!$B$5:$Q$50,3,FALSE),0)))*E25</f>
        <v>0</v>
      </c>
      <c r="V25" s="1290">
        <f>((IF(F25="Verwertung in eigener BGA",D25*J25,0))+IF(G25="Verwertung in eigener BGA",M25*D25*VLOOKUP(B25,'Daten Ernteprodukte'!$B$5:$Q$50,3,FALSE),0))*0.05*E25</f>
        <v>0</v>
      </c>
      <c r="W25" s="1290"/>
      <c r="X25" s="1290">
        <f>((IF(F25="Verwertung in eigener BGA",D25*J25*E25,0)+IF(G25="Verwertung in eigener BGA",M25*D25*VLOOKUP(B25,'Daten Ernteprodukte'!$B$5:$Q$50,3,FALSE)*E25,0))-V25)*0.05</f>
        <v>0</v>
      </c>
      <c r="Y25" s="1290"/>
      <c r="Z25" s="653">
        <f>(((IF(F25="Verwertung in eigener BGA",(J25*E25*D25),0))+IF(G25="Verwertung in eigener BGA",M25*D25*VLOOKUP(B25,'Daten Ernteprodukte'!$B$5:$Q$50,3,FALSE)*E25,0))-V25-X25)*0.1</f>
        <v>0</v>
      </c>
    </row>
    <row r="26" spans="1:29" s="5" customFormat="1">
      <c r="A26" s="900">
        <f>VLOOKUP(B26,'Daten Ernteprodukte'!$B$5:$C$96,2,FALSE)</f>
        <v>0</v>
      </c>
      <c r="B26" s="829" t="s">
        <v>163</v>
      </c>
      <c r="C26" s="830">
        <v>0</v>
      </c>
      <c r="D26" s="831">
        <v>0</v>
      </c>
      <c r="E26" s="832">
        <v>0</v>
      </c>
      <c r="F26" s="833" t="s">
        <v>547</v>
      </c>
      <c r="G26" s="890" t="s">
        <v>548</v>
      </c>
      <c r="H26" s="892"/>
      <c r="I26" s="891">
        <f>IF(VLOOKUP(B26,'Daten Ernteprodukte'!$B$5:$N$50,11,FALSE)=0,VLOOKUP(Pflanzenbau!B26,'Daten Ernteprodukte'!$B$5:$N$50,12,FALSE),VLOOKUP(Pflanzenbau!B26,'Daten Ernteprodukte'!$B$5:$N$50,11,FALSE)*Pflanzenbau!D26*E26)</f>
        <v>0</v>
      </c>
      <c r="J26" s="351">
        <f>IF(OR(A26=5.7),0.86*C26/5.7,IF(OR(A26=6.25),0.86*C26/6.25,VLOOKUP(Pflanzenbau!B26,'Daten Ernteprodukte'!$B$5:$K$50,8,FALSE)))</f>
        <v>0</v>
      </c>
      <c r="K26" s="351">
        <f>VLOOKUP($B26,'Daten Ernteprodukte'!$B$5:$N$50,9,FALSE)</f>
        <v>0</v>
      </c>
      <c r="L26" s="351">
        <f>VLOOKUP($B26,'Daten Ernteprodukte'!$B$5:$N$50,10,FALSE)</f>
        <v>0</v>
      </c>
      <c r="M26" s="454">
        <f>VLOOKUP(B26,'Daten Ernteprodukte'!$B$5:$Q$50,14,FALSE)</f>
        <v>0</v>
      </c>
      <c r="N26" s="454">
        <f>VLOOKUP(B26,'Daten Ernteprodukte'!$B$5:$Q$50,15,FALSE)</f>
        <v>0</v>
      </c>
      <c r="O26" s="454">
        <f>VLOOKUP(B26,'Daten Ernteprodukte'!$B$5:$Q$50,16,FALSE)</f>
        <v>0</v>
      </c>
      <c r="P26" s="454"/>
      <c r="Q26" s="455"/>
      <c r="R26" s="653">
        <f>((IF(F26="Verwertung in eigener BGA",J26*D26*0.95,0))+(IF(G26="Verwertung in eigener BGA",M26*D26*VLOOKUP(Pflanzenbau!B26,'Daten Ernteprodukte'!$B$5:$Q$50,3,FALSE)*0.95,0)))*E26</f>
        <v>0</v>
      </c>
      <c r="S26" s="456">
        <f>(IF(F26="Vermarktung",J26*D26,0)+(IF(G26="Vermarktung",M26*D26*VLOOKUP(B26,'Daten Ernteprodukte'!$B$5:$Q$50,3,FALSE),0)))*E26</f>
        <v>0</v>
      </c>
      <c r="T26" s="654">
        <f>((IF(F26="Vermarktung",K26*D26,0))+(IF(G26="Vermarktung",N26*D26*VLOOKUP(B26,'Daten Ernteprodukte'!$B$5:$Q$50,3,FALSE),0)))*E26</f>
        <v>0</v>
      </c>
      <c r="U26" s="458">
        <f>((IF(F26="Vermarktung",L26*D26,0))+(IF(G26="Vermarktung",D26*O26*VLOOKUP(B26,'Daten Ernteprodukte'!$B$5:$Q$50,3,FALSE),0)))*E26</f>
        <v>0</v>
      </c>
      <c r="V26" s="1290">
        <f>((IF(F26="Verwertung in eigener BGA",D26*J26,0))+IF(G26="Verwertung in eigener BGA",M26*D26*VLOOKUP(B26,'Daten Ernteprodukte'!$B$5:$Q$50,3,FALSE),0))*0.05*E26</f>
        <v>0</v>
      </c>
      <c r="W26" s="1290"/>
      <c r="X26" s="1290">
        <f>((IF(F26="Verwertung in eigener BGA",D26*J26*E26,0)+IF(G26="Verwertung in eigener BGA",M26*D26*VLOOKUP(B26,'Daten Ernteprodukte'!$B$5:$Q$50,3,FALSE)*E26,0))-V26)*0.05</f>
        <v>0</v>
      </c>
      <c r="Y26" s="1290"/>
      <c r="Z26" s="653">
        <f>(((IF(F26="Verwertung in eigener BGA",(J26*E26*D26),0))+IF(G26="Verwertung in eigener BGA",M26*D26*VLOOKUP(B26,'Daten Ernteprodukte'!$B$5:$Q$50,3,FALSE)*E26,0))-V26-X26)*0.1</f>
        <v>0</v>
      </c>
    </row>
    <row r="27" spans="1:29" s="5" customFormat="1">
      <c r="A27" s="900">
        <f>VLOOKUP(B27,'Daten Ernteprodukte'!$B$5:$C$96,2,FALSE)</f>
        <v>0</v>
      </c>
      <c r="B27" s="829" t="s">
        <v>163</v>
      </c>
      <c r="C27" s="830">
        <v>0</v>
      </c>
      <c r="D27" s="831">
        <v>0</v>
      </c>
      <c r="E27" s="832">
        <v>0</v>
      </c>
      <c r="F27" s="833" t="s">
        <v>547</v>
      </c>
      <c r="G27" s="890" t="s">
        <v>548</v>
      </c>
      <c r="H27" s="892"/>
      <c r="I27" s="891">
        <f>IF(VLOOKUP(B27,'Daten Ernteprodukte'!$B$5:$N$50,11,FALSE)=0,VLOOKUP(Pflanzenbau!B27,'Daten Ernteprodukte'!$B$5:$N$50,12,FALSE),VLOOKUP(Pflanzenbau!B27,'Daten Ernteprodukte'!$B$5:$N$50,11,FALSE)*Pflanzenbau!D27*E27)</f>
        <v>0</v>
      </c>
      <c r="J27" s="351">
        <f>IF(OR(A27=5.7),0.86*C27/5.7,IF(OR(A27=6.25),0.86*C27/6.25,VLOOKUP(Pflanzenbau!B27,'Daten Ernteprodukte'!$B$5:$K$50,8,FALSE)))</f>
        <v>0</v>
      </c>
      <c r="K27" s="351">
        <f>VLOOKUP($B27,'Daten Ernteprodukte'!$B$5:$N$50,9,FALSE)</f>
        <v>0</v>
      </c>
      <c r="L27" s="351">
        <f>VLOOKUP($B27,'Daten Ernteprodukte'!$B$5:$N$50,10,FALSE)</f>
        <v>0</v>
      </c>
      <c r="M27" s="454">
        <f>VLOOKUP(B27,'Daten Ernteprodukte'!$B$5:$Q$50,14,FALSE)</f>
        <v>0</v>
      </c>
      <c r="N27" s="454">
        <f>VLOOKUP(B27,'Daten Ernteprodukte'!$B$5:$Q$50,15,FALSE)</f>
        <v>0</v>
      </c>
      <c r="O27" s="454">
        <f>VLOOKUP(B27,'Daten Ernteprodukte'!$B$5:$Q$50,16,FALSE)</f>
        <v>0</v>
      </c>
      <c r="P27" s="454"/>
      <c r="Q27" s="455"/>
      <c r="R27" s="653">
        <f>((IF(F27="Verwertung in eigener BGA",J27*D27*0.95,0))+(IF(G27="Verwertung in eigener BGA",M27*D27*VLOOKUP(Pflanzenbau!B27,'Daten Ernteprodukte'!$B$5:$Q$50,3,FALSE)*0.95,0)))*E27</f>
        <v>0</v>
      </c>
      <c r="S27" s="456">
        <f>(IF(F27="Vermarktung",J27*D27,0)+(IF(G27="Vermarktung",M27*D27*VLOOKUP(B27,'Daten Ernteprodukte'!$B$5:$Q$50,3,FALSE),0)))*E27</f>
        <v>0</v>
      </c>
      <c r="T27" s="654">
        <f>((IF(F27="Vermarktung",K27*D27,0))+(IF(G27="Vermarktung",N27*D27*VLOOKUP(B27,'Daten Ernteprodukte'!$B$5:$Q$50,3,FALSE),0)))*E27</f>
        <v>0</v>
      </c>
      <c r="U27" s="458">
        <f>((IF(F27="Vermarktung",L27*D27,0))+(IF(G27="Vermarktung",D27*O27*VLOOKUP(B27,'Daten Ernteprodukte'!$B$5:$Q$50,3,FALSE),0)))*E27</f>
        <v>0</v>
      </c>
      <c r="V27" s="1290">
        <f>((IF(F27="Verwertung in eigener BGA",D27*J27,0))+IF(G27="Verwertung in eigener BGA",M27*D27*VLOOKUP(B27,'Daten Ernteprodukte'!$B$5:$Q$50,3,FALSE),0))*0.05*E27</f>
        <v>0</v>
      </c>
      <c r="W27" s="1290"/>
      <c r="X27" s="1290">
        <f>((IF(F27="Verwertung in eigener BGA",D27*J27*E27,0)+IF(G27="Verwertung in eigener BGA",M27*D27*VLOOKUP(B27,'Daten Ernteprodukte'!$B$5:$Q$50,3,FALSE)*E27,0))-V27)*0.05</f>
        <v>0</v>
      </c>
      <c r="Y27" s="1290"/>
      <c r="Z27" s="653">
        <f>(((IF(F27="Verwertung in eigener BGA",(J27*E27*D27),0))+IF(G27="Verwertung in eigener BGA",M27*D27*VLOOKUP(B27,'Daten Ernteprodukte'!$B$5:$Q$50,3,FALSE)*E27,0))-V27-X27)*0.1</f>
        <v>0</v>
      </c>
    </row>
    <row r="28" spans="1:29" s="5" customFormat="1">
      <c r="A28" s="900">
        <f>VLOOKUP(B28,'Daten Ernteprodukte'!$B$5:$C$96,2,FALSE)</f>
        <v>0</v>
      </c>
      <c r="B28" s="829" t="s">
        <v>163</v>
      </c>
      <c r="C28" s="830">
        <v>0</v>
      </c>
      <c r="D28" s="831">
        <v>0</v>
      </c>
      <c r="E28" s="832">
        <v>0</v>
      </c>
      <c r="F28" s="833" t="s">
        <v>547</v>
      </c>
      <c r="G28" s="890" t="s">
        <v>548</v>
      </c>
      <c r="H28" s="892"/>
      <c r="I28" s="891">
        <f>IF(VLOOKUP(B28,'Daten Ernteprodukte'!$B$5:$N$50,11,FALSE)=0,VLOOKUP(Pflanzenbau!B28,'Daten Ernteprodukte'!$B$5:$N$50,12,FALSE),VLOOKUP(Pflanzenbau!B28,'Daten Ernteprodukte'!$B$5:$N$50,11,FALSE)*Pflanzenbau!D28*E28)</f>
        <v>0</v>
      </c>
      <c r="J28" s="351">
        <f>IF(OR(A28=5.7),0.86*C28/5.7,IF(OR(A28=6.25),0.86*C28/6.25,VLOOKUP(Pflanzenbau!B28,'Daten Ernteprodukte'!$B$5:$K$50,8,FALSE)))</f>
        <v>0</v>
      </c>
      <c r="K28" s="351">
        <f>VLOOKUP($B28,'Daten Ernteprodukte'!$B$5:$N$50,9,FALSE)</f>
        <v>0</v>
      </c>
      <c r="L28" s="351">
        <f>VLOOKUP($B28,'Daten Ernteprodukte'!$B$5:$N$50,10,FALSE)</f>
        <v>0</v>
      </c>
      <c r="M28" s="454">
        <f>VLOOKUP(B28,'Daten Ernteprodukte'!$B$5:$Q$50,14,FALSE)</f>
        <v>0</v>
      </c>
      <c r="N28" s="454">
        <f>VLOOKUP(B28,'Daten Ernteprodukte'!$B$5:$Q$50,15,FALSE)</f>
        <v>0</v>
      </c>
      <c r="O28" s="454">
        <f>VLOOKUP(B28,'Daten Ernteprodukte'!$B$5:$Q$50,16,FALSE)</f>
        <v>0</v>
      </c>
      <c r="P28" s="454"/>
      <c r="Q28" s="455"/>
      <c r="R28" s="653">
        <f>((IF(F28="Verwertung in eigener BGA",J28*D28*0.95,0))+(IF(G28="Verwertung in eigener BGA",M28*D28*VLOOKUP(Pflanzenbau!B28,'Daten Ernteprodukte'!$B$5:$Q$50,3,FALSE)*0.95,0)))*E28</f>
        <v>0</v>
      </c>
      <c r="S28" s="456">
        <f>(IF(F28="Vermarktung",J28*D28,0)+(IF(G28="Vermarktung",M28*D28*VLOOKUP(B28,'Daten Ernteprodukte'!$B$5:$Q$50,3,FALSE),0)))*E28</f>
        <v>0</v>
      </c>
      <c r="T28" s="654">
        <f>((IF(F28="Vermarktung",K28*D28,0))+(IF(G28="Vermarktung",N28*D28*VLOOKUP(B28,'Daten Ernteprodukte'!$B$5:$Q$50,3,FALSE),0)))*E28</f>
        <v>0</v>
      </c>
      <c r="U28" s="458">
        <f>((IF(F28="Vermarktung",L28*D28,0))+(IF(G28="Vermarktung",D28*O28*VLOOKUP(B28,'Daten Ernteprodukte'!$B$5:$Q$50,3,FALSE),0)))*E28</f>
        <v>0</v>
      </c>
      <c r="V28" s="1290">
        <f>((IF(F28="Verwertung in eigener BGA",D28*J28,0))+IF(G28="Verwertung in eigener BGA",M28*D28*VLOOKUP(B28,'Daten Ernteprodukte'!$B$5:$Q$50,3,FALSE),0))*0.05*E28</f>
        <v>0</v>
      </c>
      <c r="W28" s="1290"/>
      <c r="X28" s="1290">
        <f>((IF(F28="Verwertung in eigener BGA",D28*J28*E28,0)+IF(G28="Verwertung in eigener BGA",M28*D28*VLOOKUP(B28,'Daten Ernteprodukte'!$B$5:$Q$50,3,FALSE)*E28,0))-V28)*0.05</f>
        <v>0</v>
      </c>
      <c r="Y28" s="1290"/>
      <c r="Z28" s="653">
        <f>(((IF(F28="Verwertung in eigener BGA",(J28*E28*D28),0))+IF(G28="Verwertung in eigener BGA",M28*D28*VLOOKUP(B28,'Daten Ernteprodukte'!$B$5:$Q$50,3,FALSE)*E28,0))-V28-X28)*0.1</f>
        <v>0</v>
      </c>
    </row>
    <row r="29" spans="1:29" s="5" customFormat="1">
      <c r="A29" s="900">
        <f>VLOOKUP(B29,'Daten Ernteprodukte'!$B$5:$C$96,2,FALSE)</f>
        <v>0</v>
      </c>
      <c r="B29" s="829" t="s">
        <v>163</v>
      </c>
      <c r="C29" s="830">
        <v>0</v>
      </c>
      <c r="D29" s="831">
        <v>0</v>
      </c>
      <c r="E29" s="832">
        <v>0</v>
      </c>
      <c r="F29" s="833" t="s">
        <v>547</v>
      </c>
      <c r="G29" s="890" t="s">
        <v>548</v>
      </c>
      <c r="H29" s="892"/>
      <c r="I29" s="891">
        <f>IF(VLOOKUP(B29,'Daten Ernteprodukte'!$B$5:$N$50,11,FALSE)=0,VLOOKUP(Pflanzenbau!B29,'Daten Ernteprodukte'!$B$5:$N$50,12,FALSE),VLOOKUP(Pflanzenbau!B29,'Daten Ernteprodukte'!$B$5:$N$50,11,FALSE)*Pflanzenbau!D29*E29)</f>
        <v>0</v>
      </c>
      <c r="J29" s="351">
        <f>IF(OR(A29=5.7),0.86*C29/5.7,IF(OR(A29=6.25),0.86*C29/6.25,VLOOKUP(Pflanzenbau!B29,'Daten Ernteprodukte'!$B$5:$K$50,8,FALSE)))</f>
        <v>0</v>
      </c>
      <c r="K29" s="351">
        <f>VLOOKUP($B29,'Daten Ernteprodukte'!$B$5:$N$50,9,FALSE)</f>
        <v>0</v>
      </c>
      <c r="L29" s="351">
        <f>VLOOKUP($B29,'Daten Ernteprodukte'!$B$5:$N$50,10,FALSE)</f>
        <v>0</v>
      </c>
      <c r="M29" s="454">
        <f>VLOOKUP(B29,'Daten Ernteprodukte'!$B$5:$Q$50,14,FALSE)</f>
        <v>0</v>
      </c>
      <c r="N29" s="454">
        <f>VLOOKUP(B29,'Daten Ernteprodukte'!$B$5:$Q$50,15,FALSE)</f>
        <v>0</v>
      </c>
      <c r="O29" s="454">
        <f>VLOOKUP(B29,'Daten Ernteprodukte'!$B$5:$Q$50,16,FALSE)</f>
        <v>0</v>
      </c>
      <c r="P29" s="454"/>
      <c r="Q29" s="455"/>
      <c r="R29" s="653">
        <f>((IF(F29="Verwertung in eigener BGA",J29*D29*0.95,0))+(IF(G29="Verwertung in eigener BGA",M29*D29*VLOOKUP(Pflanzenbau!B29,'Daten Ernteprodukte'!$B$5:$Q$50,3,FALSE)*0.95,0)))*E29</f>
        <v>0</v>
      </c>
      <c r="S29" s="456">
        <f>(IF(F29="Vermarktung",J29*D29,0)+(IF(G29="Vermarktung",M29*D29*VLOOKUP(B29,'Daten Ernteprodukte'!$B$5:$Q$50,3,FALSE),0)))*E29</f>
        <v>0</v>
      </c>
      <c r="T29" s="654">
        <f>((IF(F29="Vermarktung",K29*D29,0))+(IF(G29="Vermarktung",N29*D29*VLOOKUP(B29,'Daten Ernteprodukte'!$B$5:$Q$50,3,FALSE),0)))*E29</f>
        <v>0</v>
      </c>
      <c r="U29" s="458">
        <f>((IF(F29="Vermarktung",L29*D29,0))+(IF(G29="Vermarktung",D29*O29*VLOOKUP(B29,'Daten Ernteprodukte'!$B$5:$Q$50,3,FALSE),0)))*E29</f>
        <v>0</v>
      </c>
      <c r="V29" s="1290">
        <f>((IF(F29="Verwertung in eigener BGA",D29*J29,0))+IF(G29="Verwertung in eigener BGA",M29*D29*VLOOKUP(B29,'Daten Ernteprodukte'!$B$5:$Q$50,3,FALSE),0))*0.05*E29</f>
        <v>0</v>
      </c>
      <c r="W29" s="1290"/>
      <c r="X29" s="1290">
        <f>((IF(F29="Verwertung in eigener BGA",D29*J29*E29,0)+IF(G29="Verwertung in eigener BGA",M29*D29*VLOOKUP(B29,'Daten Ernteprodukte'!$B$5:$Q$50,3,FALSE)*E29,0))-V29)*0.05</f>
        <v>0</v>
      </c>
      <c r="Y29" s="1290"/>
      <c r="Z29" s="653">
        <f>(((IF(F29="Verwertung in eigener BGA",(J29*E29*D29),0))+IF(G29="Verwertung in eigener BGA",M29*D29*VLOOKUP(B29,'Daten Ernteprodukte'!$B$5:$Q$50,3,FALSE)*E29,0))-V29-X29)*0.1</f>
        <v>0</v>
      </c>
    </row>
    <row r="30" spans="1:29" s="5" customFormat="1">
      <c r="A30" s="900">
        <f>VLOOKUP(B30,'Daten Ernteprodukte'!$B$5:$C$96,2,FALSE)</f>
        <v>0</v>
      </c>
      <c r="B30" s="829" t="s">
        <v>163</v>
      </c>
      <c r="C30" s="830">
        <v>0</v>
      </c>
      <c r="D30" s="831">
        <v>0</v>
      </c>
      <c r="E30" s="834">
        <v>0</v>
      </c>
      <c r="F30" s="833" t="s">
        <v>547</v>
      </c>
      <c r="G30" s="890" t="s">
        <v>548</v>
      </c>
      <c r="H30" s="892"/>
      <c r="I30" s="891">
        <f>IF(VLOOKUP(B30,'Daten Ernteprodukte'!$B$5:$N$50,11,FALSE)=0,VLOOKUP(Pflanzenbau!B30,'Daten Ernteprodukte'!$B$5:$N$50,12,FALSE),VLOOKUP(Pflanzenbau!B30,'Daten Ernteprodukte'!$B$5:$N$50,11,FALSE)*Pflanzenbau!D30*E30)</f>
        <v>0</v>
      </c>
      <c r="J30" s="351">
        <f>IF(OR(A30=5.7),0.86*C30/5.7,IF(OR(A30=6.25),0.86*C30/6.25,VLOOKUP(Pflanzenbau!B30,'Daten Ernteprodukte'!$B$5:$K$50,8,FALSE)))</f>
        <v>0</v>
      </c>
      <c r="K30" s="351">
        <f>VLOOKUP($B30,'Daten Ernteprodukte'!$B$5:$N$50,9,FALSE)</f>
        <v>0</v>
      </c>
      <c r="L30" s="351">
        <f>VLOOKUP($B30,'Daten Ernteprodukte'!$B$5:$N$50,10,FALSE)</f>
        <v>0</v>
      </c>
      <c r="M30" s="454">
        <f>VLOOKUP(B30,'Daten Ernteprodukte'!$B$5:$Q$50,14,FALSE)</f>
        <v>0</v>
      </c>
      <c r="N30" s="454">
        <f>VLOOKUP(B30,'Daten Ernteprodukte'!$B$5:$Q$50,15,FALSE)</f>
        <v>0</v>
      </c>
      <c r="O30" s="454">
        <f>VLOOKUP(B30,'Daten Ernteprodukte'!$B$5:$Q$50,16,FALSE)</f>
        <v>0</v>
      </c>
      <c r="P30" s="454"/>
      <c r="Q30" s="455"/>
      <c r="R30" s="653">
        <f>((IF(F30="Verwertung in eigener BGA",J30*D30*0.95,0))+(IF(G30="Verwertung in eigener BGA",M30*D30*VLOOKUP(Pflanzenbau!B30,'Daten Ernteprodukte'!$B$5:$Q$50,3,FALSE)*0.95,0)))*E30</f>
        <v>0</v>
      </c>
      <c r="S30" s="456">
        <f>(IF(F30="Vermarktung",J30*D30,0)+(IF(G30="Vermarktung",M30*D30*VLOOKUP(B30,'Daten Ernteprodukte'!$B$5:$Q$50,3,FALSE),0)))*E30</f>
        <v>0</v>
      </c>
      <c r="T30" s="654">
        <f>((IF(F30="Vermarktung",K30*D30,0))+(IF(G30="Vermarktung",N30*D30*VLOOKUP(B30,'Daten Ernteprodukte'!$B$5:$Q$50,3,FALSE),0)))*E30</f>
        <v>0</v>
      </c>
      <c r="U30" s="458">
        <f>((IF(F30="Vermarktung",L30*D30,0))+(IF(G30="Vermarktung",D30*O30*VLOOKUP(B30,'Daten Ernteprodukte'!$B$5:$Q$50,3,FALSE),0)))*E30</f>
        <v>0</v>
      </c>
      <c r="V30" s="1290">
        <f>((IF(F30="Verwertung in eigener BGA",D30*J30,0))+IF(G30="Verwertung in eigener BGA",M30*D30*VLOOKUP(B30,'Daten Ernteprodukte'!$B$5:$Q$50,3,FALSE),0))*0.05*E30</f>
        <v>0</v>
      </c>
      <c r="W30" s="1290"/>
      <c r="X30" s="1290">
        <f>((IF(F30="Verwertung in eigener BGA",D30*J30*E30,0)+IF(G30="Verwertung in eigener BGA",M30*D30*VLOOKUP(B30,'Daten Ernteprodukte'!$B$5:$Q$50,3,FALSE)*E30,0))-V30)*0.05</f>
        <v>0</v>
      </c>
      <c r="Y30" s="1290"/>
      <c r="Z30" s="653">
        <f>(((IF(F30="Verwertung in eigener BGA",(J30*E30*D30),0))+IF(G30="Verwertung in eigener BGA",M30*D30*VLOOKUP(B30,'Daten Ernteprodukte'!$B$5:$Q$50,3,FALSE)*E30,0))-V30-X30)*0.1</f>
        <v>0</v>
      </c>
    </row>
    <row r="31" spans="1:29" s="557" customFormat="1" ht="22.5" customHeight="1">
      <c r="A31" s="802"/>
      <c r="B31" s="302" t="s">
        <v>257</v>
      </c>
      <c r="C31" s="302"/>
      <c r="D31" s="291"/>
      <c r="E31" s="773">
        <f>SUM(E10:E30)-SUMIF(B10:B30,"leer",E10:E30)</f>
        <v>0</v>
      </c>
      <c r="F31" s="775"/>
      <c r="G31" s="302"/>
      <c r="H31" s="435"/>
      <c r="I31" s="429">
        <f>SUM(I10:I30)</f>
        <v>0</v>
      </c>
      <c r="J31" s="429"/>
      <c r="K31" s="429"/>
      <c r="L31" s="429"/>
      <c r="M31" s="776"/>
      <c r="N31" s="776"/>
      <c r="O31" s="776"/>
      <c r="P31" s="429"/>
      <c r="Q31" s="777"/>
      <c r="R31" s="402">
        <f>SUM(R10:R30)</f>
        <v>0</v>
      </c>
      <c r="S31" s="778">
        <f>SUM(S10:S30)</f>
        <v>0</v>
      </c>
      <c r="T31" s="402">
        <f>SUM(T10:T30)</f>
        <v>0</v>
      </c>
      <c r="U31" s="779">
        <f>SUM(U10:U30)</f>
        <v>0</v>
      </c>
      <c r="V31" s="1299">
        <f>SUM(V10:W30)</f>
        <v>0</v>
      </c>
      <c r="W31" s="1299"/>
      <c r="X31" s="1299">
        <f>SUM(X10:Y30)</f>
        <v>0</v>
      </c>
      <c r="Y31" s="1299"/>
      <c r="Z31" s="402">
        <f>SUM(Z10:AA30)</f>
        <v>0</v>
      </c>
    </row>
    <row r="32" spans="1:29" s="353" customFormat="1" ht="21.75" customHeight="1">
      <c r="A32" s="803"/>
      <c r="H32" s="889"/>
      <c r="I32" s="459"/>
      <c r="J32" s="459"/>
      <c r="K32" s="459"/>
      <c r="L32" s="459"/>
      <c r="M32" s="459"/>
      <c r="N32" s="459"/>
      <c r="O32" s="459"/>
      <c r="P32" s="459"/>
      <c r="Q32" s="459"/>
      <c r="R32" s="459"/>
      <c r="S32" s="459"/>
      <c r="T32" s="459"/>
      <c r="U32" s="459"/>
      <c r="V32" s="459"/>
      <c r="W32" s="459"/>
      <c r="X32" s="459"/>
      <c r="Y32" s="459"/>
      <c r="Z32" s="459"/>
      <c r="AA32" s="197"/>
      <c r="AB32" s="197"/>
      <c r="AC32" s="197"/>
    </row>
    <row r="33" spans="1:26" ht="61.5" customHeight="1">
      <c r="A33" s="797"/>
      <c r="B33" s="774" t="s">
        <v>1142</v>
      </c>
      <c r="E33" s="1288" t="str">
        <f>IF(SUM(E35:E41)&gt;E31,"Prüfen Sie die Eingaben. Flächenangaben können nicht stimmen!","")</f>
        <v/>
      </c>
      <c r="F33" s="1288"/>
      <c r="I33" s="460"/>
      <c r="J33" s="1294" t="s">
        <v>417</v>
      </c>
      <c r="K33" s="1295"/>
      <c r="L33" s="1296"/>
      <c r="M33" s="480"/>
      <c r="N33" s="480"/>
      <c r="O33" s="480"/>
      <c r="P33" s="461" t="s">
        <v>157</v>
      </c>
      <c r="Q33" s="461"/>
      <c r="R33" s="461" t="s">
        <v>416</v>
      </c>
      <c r="S33" s="1287" t="s">
        <v>444</v>
      </c>
      <c r="T33" s="1287"/>
      <c r="U33" s="1287"/>
      <c r="V33" s="1301" t="s">
        <v>408</v>
      </c>
      <c r="W33" s="1301"/>
      <c r="X33" s="1301"/>
      <c r="Y33" s="1301"/>
      <c r="Z33" s="1301"/>
    </row>
    <row r="34" spans="1:26" s="5" customFormat="1" ht="75" customHeight="1">
      <c r="A34" s="900"/>
      <c r="B34" s="622" t="s">
        <v>1151</v>
      </c>
      <c r="C34" s="314" t="s">
        <v>863</v>
      </c>
      <c r="D34" s="483" t="s">
        <v>433</v>
      </c>
      <c r="E34" s="313" t="s">
        <v>361</v>
      </c>
      <c r="F34" s="450"/>
      <c r="G34" s="446" t="s">
        <v>149</v>
      </c>
      <c r="H34" s="888" t="s">
        <v>1166</v>
      </c>
      <c r="I34" s="615" t="s">
        <v>979</v>
      </c>
      <c r="J34" s="380" t="s">
        <v>16</v>
      </c>
      <c r="K34" s="380" t="s">
        <v>113</v>
      </c>
      <c r="L34" s="462" t="s">
        <v>114</v>
      </c>
      <c r="M34" s="312"/>
      <c r="N34" s="312"/>
      <c r="O34" s="312"/>
      <c r="P34" s="464"/>
      <c r="Q34" s="465"/>
      <c r="R34" s="442"/>
      <c r="S34" s="466" t="s">
        <v>16</v>
      </c>
      <c r="T34" s="464" t="s">
        <v>113</v>
      </c>
      <c r="U34" s="465" t="s">
        <v>114</v>
      </c>
      <c r="V34" s="1300" t="s">
        <v>910</v>
      </c>
      <c r="W34" s="1300"/>
      <c r="X34" s="1293" t="s">
        <v>402</v>
      </c>
      <c r="Y34" s="1293"/>
      <c r="Z34" s="467" t="s">
        <v>414</v>
      </c>
    </row>
    <row r="35" spans="1:26" ht="15.75">
      <c r="A35" s="797">
        <f>VLOOKUP(B35,'Daten Ernteprodukte'!$B$72:$C$95,2,FALSE)</f>
        <v>0</v>
      </c>
      <c r="B35" s="835" t="s">
        <v>163</v>
      </c>
      <c r="C35" s="835">
        <v>0</v>
      </c>
      <c r="D35" s="836">
        <v>0</v>
      </c>
      <c r="E35" s="837">
        <v>0</v>
      </c>
      <c r="F35" s="450"/>
      <c r="G35" s="839" t="s">
        <v>547</v>
      </c>
      <c r="H35" s="892"/>
      <c r="I35" s="381">
        <f>IF(A35="KlGr",3.25*C35/100*D35*E35,VLOOKUP(B35,'Daten Ernteprodukte'!$B$72:$M$95,10,FALSE)*E35*D35)</f>
        <v>0</v>
      </c>
      <c r="J35" s="886">
        <f>VLOOKUP($B35,'Daten Ernteprodukte'!$B$72:$M$95,7,FALSE)</f>
        <v>0</v>
      </c>
      <c r="K35" s="886">
        <f>VLOOKUP($B35,'Daten Ernteprodukte'!$B$72:$M$95,8,FALSE)</f>
        <v>0</v>
      </c>
      <c r="L35" s="887">
        <f>VLOOKUP($B35,'Daten Ernteprodukte'!$B$72:$M$95,9,FALSE)</f>
        <v>0</v>
      </c>
      <c r="M35" s="472"/>
      <c r="N35" s="472"/>
      <c r="O35" s="472"/>
      <c r="P35" s="468">
        <f t="shared" ref="P35:P41" si="0">IF(G35="Verfütterung Wiederkäuer",E35*0.4,0)</f>
        <v>0</v>
      </c>
      <c r="Q35" s="471"/>
      <c r="R35" s="472">
        <f t="shared" ref="R35:R41" si="1">IF(G35="Verwertung in eigener BGA",J35*D35*E35*0.95,0)</f>
        <v>0</v>
      </c>
      <c r="S35" s="473">
        <f t="shared" ref="S35:S41" si="2">IF(G35="Vermarktung",J35*D35*E35,0)</f>
        <v>0</v>
      </c>
      <c r="T35" s="474">
        <f t="shared" ref="T35:T41" si="3">IF($G35="Vermarktung",K35*D35*E35,0)</f>
        <v>0</v>
      </c>
      <c r="U35" s="475">
        <f t="shared" ref="U35:U41" si="4">IF(G35="Vermarktung",L35*D35*E35,0)</f>
        <v>0</v>
      </c>
      <c r="V35" s="1292">
        <f t="shared" ref="V35:V41" si="5">IF(G35="Verwertung in eigener BGA",D35*E35*J35*0.05,0)</f>
        <v>0</v>
      </c>
      <c r="W35" s="1292"/>
      <c r="X35" s="1292">
        <f t="shared" ref="X35:X41" si="6">IF(G35="Verwertung in eigener BGA",((D35*E35*J35)-V35)*0.05,0)</f>
        <v>0</v>
      </c>
      <c r="Y35" s="1292"/>
      <c r="Z35" s="476">
        <f t="shared" ref="Z35:Z41" si="7">IF(G35="Verwertung in eigener BGA",(D35*E35*J35-V35-X35)*0.1,0)</f>
        <v>0</v>
      </c>
    </row>
    <row r="36" spans="1:26" ht="15.75">
      <c r="A36" s="797">
        <f>VLOOKUP(B36,'Daten Ernteprodukte'!$B$72:$C$95,2,FALSE)</f>
        <v>0</v>
      </c>
      <c r="B36" s="835" t="s">
        <v>163</v>
      </c>
      <c r="C36" s="835">
        <v>0</v>
      </c>
      <c r="D36" s="836">
        <v>0</v>
      </c>
      <c r="E36" s="837">
        <v>0</v>
      </c>
      <c r="F36" s="450"/>
      <c r="G36" s="839" t="s">
        <v>1240</v>
      </c>
      <c r="H36" s="892"/>
      <c r="I36" s="381">
        <f>IF(A36="KlGr",3.25*C36/100*D36*E36,VLOOKUP(B36,'Daten Ernteprodukte'!$B$72:$M$95,10,FALSE)*E36*D36)</f>
        <v>0</v>
      </c>
      <c r="J36" s="886">
        <f>VLOOKUP($B36,'Daten Ernteprodukte'!$B$72:$M$95,7,FALSE)</f>
        <v>0</v>
      </c>
      <c r="K36" s="886">
        <f>VLOOKUP($B36,'Daten Ernteprodukte'!$B$72:$M$95,8,FALSE)</f>
        <v>0</v>
      </c>
      <c r="L36" s="887">
        <f>VLOOKUP($B36,'Daten Ernteprodukte'!$B$72:$M$95,9,FALSE)</f>
        <v>0</v>
      </c>
      <c r="M36" s="472"/>
      <c r="N36" s="472"/>
      <c r="O36" s="472"/>
      <c r="P36" s="468">
        <f t="shared" si="0"/>
        <v>0</v>
      </c>
      <c r="Q36" s="471"/>
      <c r="R36" s="472">
        <f t="shared" si="1"/>
        <v>0</v>
      </c>
      <c r="S36" s="473">
        <f t="shared" si="2"/>
        <v>0</v>
      </c>
      <c r="T36" s="534">
        <f t="shared" si="3"/>
        <v>0</v>
      </c>
      <c r="U36" s="475">
        <f t="shared" si="4"/>
        <v>0</v>
      </c>
      <c r="V36" s="1292">
        <f t="shared" si="5"/>
        <v>0</v>
      </c>
      <c r="W36" s="1292"/>
      <c r="X36" s="1292">
        <f t="shared" si="6"/>
        <v>0</v>
      </c>
      <c r="Y36" s="1292"/>
      <c r="Z36" s="476">
        <f t="shared" si="7"/>
        <v>0</v>
      </c>
    </row>
    <row r="37" spans="1:26" ht="15.75">
      <c r="A37" s="797">
        <f>VLOOKUP(B37,'Daten Ernteprodukte'!$B$72:$C$95,2,FALSE)</f>
        <v>0</v>
      </c>
      <c r="B37" s="835" t="s">
        <v>163</v>
      </c>
      <c r="C37" s="835">
        <v>0</v>
      </c>
      <c r="D37" s="836">
        <v>0</v>
      </c>
      <c r="E37" s="837">
        <v>0</v>
      </c>
      <c r="F37" s="450"/>
      <c r="G37" s="839" t="s">
        <v>549</v>
      </c>
      <c r="H37" s="892"/>
      <c r="I37" s="381">
        <f>IF(A37="KlGr",3.25*C37/100*D37*E37,VLOOKUP(B37,'Daten Ernteprodukte'!$B$72:$M$95,10,FALSE)*E37*D37)</f>
        <v>0</v>
      </c>
      <c r="J37" s="886">
        <f>VLOOKUP($B37,'Daten Ernteprodukte'!$B$72:$M$95,7,FALSE)</f>
        <v>0</v>
      </c>
      <c r="K37" s="886">
        <f>VLOOKUP($B37,'Daten Ernteprodukte'!$B$72:$M$95,8,FALSE)</f>
        <v>0</v>
      </c>
      <c r="L37" s="887">
        <f>VLOOKUP($B37,'Daten Ernteprodukte'!$B$72:$M$95,9,FALSE)</f>
        <v>0</v>
      </c>
      <c r="M37" s="472"/>
      <c r="N37" s="472"/>
      <c r="O37" s="472"/>
      <c r="P37" s="468">
        <f t="shared" si="0"/>
        <v>0</v>
      </c>
      <c r="Q37" s="471"/>
      <c r="R37" s="472">
        <f t="shared" si="1"/>
        <v>0</v>
      </c>
      <c r="S37" s="473">
        <f t="shared" si="2"/>
        <v>0</v>
      </c>
      <c r="T37" s="534">
        <f t="shared" si="3"/>
        <v>0</v>
      </c>
      <c r="U37" s="475">
        <f t="shared" si="4"/>
        <v>0</v>
      </c>
      <c r="V37" s="1292">
        <f t="shared" si="5"/>
        <v>0</v>
      </c>
      <c r="W37" s="1292"/>
      <c r="X37" s="1292">
        <f t="shared" si="6"/>
        <v>0</v>
      </c>
      <c r="Y37" s="1292"/>
      <c r="Z37" s="476">
        <f t="shared" si="7"/>
        <v>0</v>
      </c>
    </row>
    <row r="38" spans="1:26" ht="15.75">
      <c r="A38" s="797">
        <f>VLOOKUP(B38,'Daten Ernteprodukte'!$B$72:$C$95,2,FALSE)</f>
        <v>0</v>
      </c>
      <c r="B38" s="835" t="s">
        <v>163</v>
      </c>
      <c r="C38" s="835">
        <v>0</v>
      </c>
      <c r="D38" s="836">
        <v>0</v>
      </c>
      <c r="E38" s="837">
        <v>0</v>
      </c>
      <c r="F38" s="450"/>
      <c r="G38" s="839" t="s">
        <v>549</v>
      </c>
      <c r="H38" s="892"/>
      <c r="I38" s="381">
        <f>IF(A38="KlGr",3.25*C38/100*D38*E38,VLOOKUP(B38,'Daten Ernteprodukte'!$B$72:$M$95,10,FALSE)*E38*D38)</f>
        <v>0</v>
      </c>
      <c r="J38" s="886">
        <f>VLOOKUP($B38,'Daten Ernteprodukte'!$B$72:$M$95,7,FALSE)</f>
        <v>0</v>
      </c>
      <c r="K38" s="886">
        <f>VLOOKUP($B38,'Daten Ernteprodukte'!$B$72:$M$95,8,FALSE)</f>
        <v>0</v>
      </c>
      <c r="L38" s="887">
        <f>VLOOKUP($B38,'Daten Ernteprodukte'!$B$72:$M$95,9,FALSE)</f>
        <v>0</v>
      </c>
      <c r="M38" s="472"/>
      <c r="N38" s="472"/>
      <c r="O38" s="472"/>
      <c r="P38" s="468">
        <f t="shared" si="0"/>
        <v>0</v>
      </c>
      <c r="Q38" s="471"/>
      <c r="R38" s="472">
        <f t="shared" si="1"/>
        <v>0</v>
      </c>
      <c r="S38" s="473">
        <f t="shared" si="2"/>
        <v>0</v>
      </c>
      <c r="T38" s="534">
        <f t="shared" si="3"/>
        <v>0</v>
      </c>
      <c r="U38" s="475">
        <f t="shared" si="4"/>
        <v>0</v>
      </c>
      <c r="V38" s="1292">
        <f t="shared" si="5"/>
        <v>0</v>
      </c>
      <c r="W38" s="1292"/>
      <c r="X38" s="1292">
        <f t="shared" si="6"/>
        <v>0</v>
      </c>
      <c r="Y38" s="1292"/>
      <c r="Z38" s="476">
        <f t="shared" si="7"/>
        <v>0</v>
      </c>
    </row>
    <row r="39" spans="1:26" ht="15.75">
      <c r="A39" s="797">
        <f>VLOOKUP(B39,'Daten Ernteprodukte'!$B$72:$C$95,2,FALSE)</f>
        <v>0</v>
      </c>
      <c r="B39" s="835" t="s">
        <v>163</v>
      </c>
      <c r="C39" s="835">
        <v>0</v>
      </c>
      <c r="D39" s="836">
        <v>0</v>
      </c>
      <c r="E39" s="837">
        <v>0</v>
      </c>
      <c r="F39" s="450"/>
      <c r="G39" s="839" t="s">
        <v>549</v>
      </c>
      <c r="H39" s="892"/>
      <c r="I39" s="381">
        <f>IF(A39="KlGr",3.25*C39/100*D39*E39,VLOOKUP(B39,'Daten Ernteprodukte'!$B$72:$M$95,10,FALSE)*E39*D39)</f>
        <v>0</v>
      </c>
      <c r="J39" s="886">
        <f>VLOOKUP($B39,'Daten Ernteprodukte'!$B$72:$M$95,7,FALSE)</f>
        <v>0</v>
      </c>
      <c r="K39" s="886">
        <f>VLOOKUP($B39,'Daten Ernteprodukte'!$B$72:$M$95,8,FALSE)</f>
        <v>0</v>
      </c>
      <c r="L39" s="887">
        <f>VLOOKUP($B39,'Daten Ernteprodukte'!$B$72:$M$95,9,FALSE)</f>
        <v>0</v>
      </c>
      <c r="M39" s="472"/>
      <c r="N39" s="472"/>
      <c r="O39" s="472"/>
      <c r="P39" s="468">
        <f t="shared" si="0"/>
        <v>0</v>
      </c>
      <c r="Q39" s="471"/>
      <c r="R39" s="472">
        <f t="shared" si="1"/>
        <v>0</v>
      </c>
      <c r="S39" s="473">
        <f t="shared" si="2"/>
        <v>0</v>
      </c>
      <c r="T39" s="534">
        <f t="shared" si="3"/>
        <v>0</v>
      </c>
      <c r="U39" s="475">
        <f t="shared" si="4"/>
        <v>0</v>
      </c>
      <c r="V39" s="1292">
        <f t="shared" si="5"/>
        <v>0</v>
      </c>
      <c r="W39" s="1292"/>
      <c r="X39" s="1292">
        <f t="shared" si="6"/>
        <v>0</v>
      </c>
      <c r="Y39" s="1292"/>
      <c r="Z39" s="476">
        <f t="shared" si="7"/>
        <v>0</v>
      </c>
    </row>
    <row r="40" spans="1:26" ht="15.75">
      <c r="A40" s="797">
        <f>VLOOKUP(B40,'Daten Ernteprodukte'!$B$72:$C$95,2,FALSE)</f>
        <v>0</v>
      </c>
      <c r="B40" s="835" t="s">
        <v>163</v>
      </c>
      <c r="C40" s="835">
        <v>0</v>
      </c>
      <c r="D40" s="838">
        <v>0</v>
      </c>
      <c r="E40" s="837">
        <v>0</v>
      </c>
      <c r="F40" s="450"/>
      <c r="G40" s="839" t="s">
        <v>549</v>
      </c>
      <c r="H40" s="892"/>
      <c r="I40" s="381">
        <f>IF(A40="KlGr",3.25*C40/100*D40*E40,VLOOKUP(B40,'Daten Ernteprodukte'!$B$72:$M$95,10,FALSE)*E40*D40)</f>
        <v>0</v>
      </c>
      <c r="J40" s="886">
        <f>VLOOKUP($B40,'Daten Ernteprodukte'!$B$72:$M$95,7,FALSE)</f>
        <v>0</v>
      </c>
      <c r="K40" s="886">
        <f>VLOOKUP($B40,'Daten Ernteprodukte'!$B$72:$M$95,8,FALSE)</f>
        <v>0</v>
      </c>
      <c r="L40" s="887">
        <f>VLOOKUP($B40,'Daten Ernteprodukte'!$B$72:$M$95,9,FALSE)</f>
        <v>0</v>
      </c>
      <c r="M40" s="472"/>
      <c r="N40" s="472"/>
      <c r="O40" s="472"/>
      <c r="P40" s="468">
        <f t="shared" si="0"/>
        <v>0</v>
      </c>
      <c r="Q40" s="471"/>
      <c r="R40" s="472">
        <f t="shared" si="1"/>
        <v>0</v>
      </c>
      <c r="S40" s="473">
        <f t="shared" si="2"/>
        <v>0</v>
      </c>
      <c r="T40" s="534">
        <f t="shared" si="3"/>
        <v>0</v>
      </c>
      <c r="U40" s="475">
        <f t="shared" si="4"/>
        <v>0</v>
      </c>
      <c r="V40" s="1292">
        <f t="shared" si="5"/>
        <v>0</v>
      </c>
      <c r="W40" s="1292"/>
      <c r="X40" s="1292">
        <f t="shared" si="6"/>
        <v>0</v>
      </c>
      <c r="Y40" s="1292"/>
      <c r="Z40" s="476">
        <f t="shared" si="7"/>
        <v>0</v>
      </c>
    </row>
    <row r="41" spans="1:26" ht="15.75">
      <c r="A41" s="797">
        <f>VLOOKUP(B41,'Daten Ernteprodukte'!$B$72:$C$95,2,FALSE)</f>
        <v>0</v>
      </c>
      <c r="B41" s="835" t="s">
        <v>163</v>
      </c>
      <c r="C41" s="835">
        <v>0</v>
      </c>
      <c r="D41" s="838">
        <v>0</v>
      </c>
      <c r="E41" s="837">
        <v>0</v>
      </c>
      <c r="F41" s="450"/>
      <c r="G41" s="839" t="s">
        <v>549</v>
      </c>
      <c r="H41" s="892"/>
      <c r="I41" s="381">
        <f>IF(A41="KlGr",3.25*C41/100*D41*E41,VLOOKUP(B41,'Daten Ernteprodukte'!$B$72:$M$95,10,FALSE)*E41*D41)</f>
        <v>0</v>
      </c>
      <c r="J41" s="886">
        <f>VLOOKUP($B41,'Daten Ernteprodukte'!$B$72:$M$95,7,FALSE)</f>
        <v>0</v>
      </c>
      <c r="K41" s="886">
        <f>VLOOKUP($B41,'Daten Ernteprodukte'!$B$72:$M$95,8,FALSE)</f>
        <v>0</v>
      </c>
      <c r="L41" s="887">
        <f>VLOOKUP($B41,'Daten Ernteprodukte'!$B$72:$M$95,9,FALSE)</f>
        <v>0</v>
      </c>
      <c r="M41" s="472"/>
      <c r="N41" s="472"/>
      <c r="O41" s="472"/>
      <c r="P41" s="468">
        <f t="shared" si="0"/>
        <v>0</v>
      </c>
      <c r="Q41" s="471"/>
      <c r="R41" s="472">
        <f t="shared" si="1"/>
        <v>0</v>
      </c>
      <c r="S41" s="473">
        <f t="shared" si="2"/>
        <v>0</v>
      </c>
      <c r="T41" s="534">
        <f t="shared" si="3"/>
        <v>0</v>
      </c>
      <c r="U41" s="475">
        <f t="shared" si="4"/>
        <v>0</v>
      </c>
      <c r="V41" s="1292">
        <f t="shared" si="5"/>
        <v>0</v>
      </c>
      <c r="W41" s="1292"/>
      <c r="X41" s="1292">
        <f t="shared" si="6"/>
        <v>0</v>
      </c>
      <c r="Y41" s="1292"/>
      <c r="Z41" s="476">
        <f t="shared" si="7"/>
        <v>0</v>
      </c>
    </row>
    <row r="42" spans="1:26" s="293" customFormat="1" ht="22.5" customHeight="1">
      <c r="A42" s="802"/>
      <c r="B42" s="291" t="s">
        <v>38</v>
      </c>
      <c r="C42" s="133"/>
      <c r="D42" s="133"/>
      <c r="E42" s="292"/>
      <c r="F42" s="450"/>
      <c r="G42" s="449"/>
      <c r="H42" s="449"/>
      <c r="I42" s="402">
        <f>SUM(I35:I41)</f>
        <v>0</v>
      </c>
      <c r="J42" s="623"/>
      <c r="K42" s="623"/>
      <c r="L42" s="623"/>
      <c r="M42" s="623"/>
      <c r="N42" s="623"/>
      <c r="O42" s="623"/>
      <c r="P42" s="624"/>
      <c r="Q42" s="625"/>
      <c r="R42" s="626">
        <f>SUM(R35:R41)</f>
        <v>0</v>
      </c>
      <c r="S42" s="627">
        <f>SUM(S35:S41)</f>
        <v>0</v>
      </c>
      <c r="T42" s="626">
        <f t="shared" ref="T42:U42" si="8">SUM(T35:T41)</f>
        <v>0</v>
      </c>
      <c r="U42" s="628">
        <f t="shared" si="8"/>
        <v>0</v>
      </c>
      <c r="V42" s="1298">
        <f>SUM(V35:W41)</f>
        <v>0</v>
      </c>
      <c r="W42" s="1298"/>
      <c r="X42" s="1298">
        <f>SUM(X35:Y41)</f>
        <v>0</v>
      </c>
      <c r="Y42" s="1298"/>
      <c r="Z42" s="444">
        <f>SUM(Z35:AA41)</f>
        <v>0</v>
      </c>
    </row>
    <row r="43" spans="1:26" s="135" customFormat="1" ht="42" customHeight="1">
      <c r="A43" s="802"/>
      <c r="B43" s="77"/>
      <c r="C43" s="86"/>
      <c r="D43" s="77"/>
      <c r="E43" s="77"/>
      <c r="F43" s="77"/>
      <c r="G43" s="77"/>
      <c r="H43" s="86"/>
      <c r="I43" s="477"/>
      <c r="J43" s="1294" t="s">
        <v>17</v>
      </c>
      <c r="K43" s="1295"/>
      <c r="L43" s="1296"/>
      <c r="M43" s="480"/>
      <c r="N43" s="480"/>
      <c r="O43" s="480"/>
      <c r="P43" s="461" t="s">
        <v>157</v>
      </c>
      <c r="Q43" s="461" t="s">
        <v>158</v>
      </c>
      <c r="R43" s="461" t="s">
        <v>416</v>
      </c>
      <c r="S43" s="1287" t="s">
        <v>444</v>
      </c>
      <c r="T43" s="1287"/>
      <c r="U43" s="1287"/>
      <c r="V43" s="1301" t="s">
        <v>408</v>
      </c>
      <c r="W43" s="1301"/>
      <c r="X43" s="1301"/>
      <c r="Y43" s="1301"/>
      <c r="Z43" s="1301"/>
    </row>
    <row r="44" spans="1:26" s="5" customFormat="1" ht="72" customHeight="1">
      <c r="A44" s="900" t="s">
        <v>256</v>
      </c>
      <c r="B44" s="314" t="s">
        <v>1152</v>
      </c>
      <c r="C44" s="314" t="s">
        <v>977</v>
      </c>
      <c r="D44" s="314" t="s">
        <v>860</v>
      </c>
      <c r="E44" s="483" t="s">
        <v>304</v>
      </c>
      <c r="F44" s="376" t="s">
        <v>361</v>
      </c>
      <c r="G44" s="376" t="s">
        <v>149</v>
      </c>
      <c r="H44" s="888" t="s">
        <v>1166</v>
      </c>
      <c r="I44" s="461" t="s">
        <v>979</v>
      </c>
      <c r="J44" s="380" t="s">
        <v>16</v>
      </c>
      <c r="K44" s="380" t="s">
        <v>113</v>
      </c>
      <c r="L44" s="462" t="s">
        <v>114</v>
      </c>
      <c r="M44" s="312"/>
      <c r="N44" s="312"/>
      <c r="O44" s="312"/>
      <c r="P44" s="463"/>
      <c r="Q44" s="478"/>
      <c r="R44" s="20"/>
      <c r="S44" s="466" t="s">
        <v>16</v>
      </c>
      <c r="T44" s="464" t="s">
        <v>113</v>
      </c>
      <c r="U44" s="465" t="s">
        <v>114</v>
      </c>
      <c r="V44" s="1300" t="s">
        <v>415</v>
      </c>
      <c r="W44" s="1300"/>
      <c r="X44" s="1293" t="s">
        <v>402</v>
      </c>
      <c r="Y44" s="1293"/>
      <c r="Z44" s="479" t="s">
        <v>360</v>
      </c>
    </row>
    <row r="45" spans="1:26" ht="15.75">
      <c r="A45" s="797">
        <f>VLOOKUP(B45,'Daten Ernteprodukte'!$B$5:$C$96,2,FALSE)</f>
        <v>0</v>
      </c>
      <c r="B45" s="835" t="s">
        <v>163</v>
      </c>
      <c r="C45" s="835">
        <v>0</v>
      </c>
      <c r="D45" s="840">
        <v>0</v>
      </c>
      <c r="E45" s="836">
        <v>0</v>
      </c>
      <c r="F45" s="841">
        <v>0</v>
      </c>
      <c r="G45" s="842" t="s">
        <v>549</v>
      </c>
      <c r="H45" s="892"/>
      <c r="I45" s="381">
        <f>IF(OR(A45="KlGr",A45="GL"),3.25*C45/100*E45*F45,VLOOKUP(B45,'Daten Ernteprodukte'!$B$51:$N$67,11,FALSE)*E45*F45)</f>
        <v>0</v>
      </c>
      <c r="J45" s="886">
        <f>IF(OR(A45="GL",A45="FG"),D45/6.25,VLOOKUP(Pflanzenbau!B45,'Daten Ernteprodukte'!$B$51:$K$67,8,FALSE))</f>
        <v>0</v>
      </c>
      <c r="K45" s="886">
        <f>IF(OR(A45="GL",A45="FG"),-0.06*(D45/6.25)^2+0.43*(D45/6.25)+0.2,VLOOKUP($B45,'Daten Ernteprodukte'!$B$51:$N$67,9,FALSE))</f>
        <v>0</v>
      </c>
      <c r="L45" s="887">
        <f>IF(OR(A45="GL",A45="FG"),-0.22*(D45/6.25)^2+1.57*(D45/6.25)+0.24,VLOOKUP($B45,'Daten Ernteprodukte'!$B$51:$N$67,10,FALSE))</f>
        <v>0</v>
      </c>
      <c r="M45" s="472"/>
      <c r="N45" s="472"/>
      <c r="O45" s="472"/>
      <c r="P45" s="468">
        <f>IF(AND(G45="Verfütterung Wiederkäuer",VLOOKUP(B45,'Daten Ernteprodukte'!$B$51:$N$67,13,FALSE)="AL"),Pflanzenbau!F45,0)</f>
        <v>0</v>
      </c>
      <c r="Q45" s="471">
        <f>IF(AND(G45="Verfütterung Wiederkäuer",VLOOKUP(B45,'Daten Ernteprodukte'!$B$51:$N$67,13,FALSE)="GL"),Pflanzenbau!F45,0)</f>
        <v>0</v>
      </c>
      <c r="R45" s="472">
        <f t="shared" ref="R45:R65" si="9">IF(G45="Verwertung in eigener BGA",J45*E45*F45*0.95,0)</f>
        <v>0</v>
      </c>
      <c r="S45" s="473">
        <f t="shared" ref="S45:S65" si="10">IF(G45="Vermarktung",J45*E45*F45,0)</f>
        <v>0</v>
      </c>
      <c r="T45" s="474">
        <f t="shared" ref="T45:T65" si="11">IF($G45="Vermarktung",K45*E45*F45,0)</f>
        <v>0</v>
      </c>
      <c r="U45" s="475">
        <f t="shared" ref="U45:U65" si="12">IF(G45="Vermarktung",L45*E45*F45,0)</f>
        <v>0</v>
      </c>
      <c r="V45" s="1292">
        <f t="shared" ref="V45:V65" si="13">IF(G45="Verwertung in eigener BGA",E45*F45*J45*0.05,0)</f>
        <v>0</v>
      </c>
      <c r="W45" s="1292"/>
      <c r="X45" s="1292">
        <f t="shared" ref="X45:X65" si="14">IF(G45="Verwertung in eigener BGA",((E45*F45*J45)-V45)*0.05,0)</f>
        <v>0</v>
      </c>
      <c r="Y45" s="1292"/>
      <c r="Z45" s="476">
        <f t="shared" ref="Z45:Z65" si="15">IF(G45="Verwertung in eigener BGA",(E45*F45*J45-V45-X45)*0.1,0)</f>
        <v>0</v>
      </c>
    </row>
    <row r="46" spans="1:26" ht="15.75">
      <c r="A46" s="797">
        <f>VLOOKUP(B46,'Daten Ernteprodukte'!$B$5:$C$96,2,FALSE)</f>
        <v>0</v>
      </c>
      <c r="B46" s="835" t="s">
        <v>163</v>
      </c>
      <c r="C46" s="835">
        <v>0</v>
      </c>
      <c r="D46" s="840">
        <v>0</v>
      </c>
      <c r="E46" s="836">
        <v>0</v>
      </c>
      <c r="F46" s="841">
        <v>0</v>
      </c>
      <c r="G46" s="842" t="s">
        <v>549</v>
      </c>
      <c r="H46" s="892"/>
      <c r="I46" s="381">
        <f>IF(OR(A46="KlGr",A46="GL"),3.25*C46/100*E46*F46,VLOOKUP(B46,'Daten Ernteprodukte'!$B$51:$N$67,11,FALSE)*E46*F46)</f>
        <v>0</v>
      </c>
      <c r="J46" s="886">
        <f>IF(OR(A46="GL",A46="FG"),D46/6.25,VLOOKUP(Pflanzenbau!B46,'Daten Ernteprodukte'!$B$51:$K$67,8,FALSE))</f>
        <v>0</v>
      </c>
      <c r="K46" s="886">
        <f>IF(OR(A46="GL",A46="FG"),-0.06*(D46/6.25)^2+0.43*(D46/6.25)+0.2,VLOOKUP($B46,'Daten Ernteprodukte'!$B$51:$N$67,9,FALSE))</f>
        <v>0</v>
      </c>
      <c r="L46" s="887">
        <f>IF(OR(A46="GL",A46="FG"),-0.22*(D46/6.25)^2+1.57*(D46/6.25)+0.24,VLOOKUP($B46,'Daten Ernteprodukte'!$B$51:$N$67,10,FALSE))</f>
        <v>0</v>
      </c>
      <c r="M46" s="472"/>
      <c r="N46" s="472"/>
      <c r="O46" s="472"/>
      <c r="P46" s="468">
        <f>IF(AND(G46="Verfütterung Wiederkäuer",VLOOKUP(B46,'Daten Ernteprodukte'!$B$51:$N$67,13,FALSE)="AL"),Pflanzenbau!F46,0)</f>
        <v>0</v>
      </c>
      <c r="Q46" s="471">
        <f>IF(AND(G46="Verfütterung Wiederkäuer",VLOOKUP(B46,'Daten Ernteprodukte'!$B$51:$N$67,13,FALSE)="GL"),Pflanzenbau!F46,0)</f>
        <v>0</v>
      </c>
      <c r="R46" s="472">
        <f t="shared" si="9"/>
        <v>0</v>
      </c>
      <c r="S46" s="473">
        <f t="shared" si="10"/>
        <v>0</v>
      </c>
      <c r="T46" s="534">
        <f t="shared" si="11"/>
        <v>0</v>
      </c>
      <c r="U46" s="475">
        <f t="shared" si="12"/>
        <v>0</v>
      </c>
      <c r="V46" s="1292">
        <f t="shared" si="13"/>
        <v>0</v>
      </c>
      <c r="W46" s="1292"/>
      <c r="X46" s="1292">
        <f t="shared" si="14"/>
        <v>0</v>
      </c>
      <c r="Y46" s="1292"/>
      <c r="Z46" s="476">
        <f t="shared" si="15"/>
        <v>0</v>
      </c>
    </row>
    <row r="47" spans="1:26" ht="15.75">
      <c r="A47" s="797">
        <f>VLOOKUP(B47,'Daten Ernteprodukte'!$B$5:$C$96,2,FALSE)</f>
        <v>0</v>
      </c>
      <c r="B47" s="835" t="s">
        <v>163</v>
      </c>
      <c r="C47" s="835">
        <v>0</v>
      </c>
      <c r="D47" s="840">
        <v>0</v>
      </c>
      <c r="E47" s="836">
        <v>0</v>
      </c>
      <c r="F47" s="841">
        <v>0</v>
      </c>
      <c r="G47" s="842" t="s">
        <v>549</v>
      </c>
      <c r="H47" s="892"/>
      <c r="I47" s="381">
        <f>IF(OR(A47="KlGr",A47="GL"),3.25*C47/100*E47*F47,VLOOKUP(B47,'Daten Ernteprodukte'!$B$51:$N$67,11,FALSE)*E47*F47)</f>
        <v>0</v>
      </c>
      <c r="J47" s="886">
        <f>IF(OR(A47="GL",A47="FG"),D47/6.25,VLOOKUP(Pflanzenbau!B47,'Daten Ernteprodukte'!$B$51:$K$67,8,FALSE))</f>
        <v>0</v>
      </c>
      <c r="K47" s="886">
        <f>IF(OR(A47="GL",A47="FG"),-0.06*(D47/6.25)^2+0.43*(D47/6.25)+0.2,VLOOKUP($B47,'Daten Ernteprodukte'!$B$51:$N$67,9,FALSE))</f>
        <v>0</v>
      </c>
      <c r="L47" s="887">
        <f>IF(OR(A47="GL",A47="FG"),-0.22*(D47/6.25)^2+1.57*(D47/6.25)+0.24,VLOOKUP($B47,'Daten Ernteprodukte'!$B$51:$N$67,10,FALSE))</f>
        <v>0</v>
      </c>
      <c r="M47" s="472"/>
      <c r="N47" s="472"/>
      <c r="O47" s="472"/>
      <c r="P47" s="468">
        <f>IF(AND(G47="Verfütterung Wiederkäuer",VLOOKUP(B47,'Daten Ernteprodukte'!$B$51:$N$67,13,FALSE)="AL"),Pflanzenbau!F47,0)</f>
        <v>0</v>
      </c>
      <c r="Q47" s="471">
        <f>IF(AND(G47="Verfütterung Wiederkäuer",VLOOKUP(B47,'Daten Ernteprodukte'!$B$51:$N$67,13,FALSE)="GL"),Pflanzenbau!F47,0)</f>
        <v>0</v>
      </c>
      <c r="R47" s="472">
        <f t="shared" si="9"/>
        <v>0</v>
      </c>
      <c r="S47" s="473">
        <f t="shared" si="10"/>
        <v>0</v>
      </c>
      <c r="T47" s="534">
        <f t="shared" si="11"/>
        <v>0</v>
      </c>
      <c r="U47" s="475">
        <f t="shared" si="12"/>
        <v>0</v>
      </c>
      <c r="V47" s="1292">
        <f t="shared" si="13"/>
        <v>0</v>
      </c>
      <c r="W47" s="1292"/>
      <c r="X47" s="1292">
        <f t="shared" si="14"/>
        <v>0</v>
      </c>
      <c r="Y47" s="1292"/>
      <c r="Z47" s="476">
        <f t="shared" si="15"/>
        <v>0</v>
      </c>
    </row>
    <row r="48" spans="1:26" ht="15.75">
      <c r="A48" s="797">
        <f>VLOOKUP(B48,'Daten Ernteprodukte'!$B$5:$C$96,2,FALSE)</f>
        <v>0</v>
      </c>
      <c r="B48" s="835" t="s">
        <v>163</v>
      </c>
      <c r="C48" s="835">
        <v>0</v>
      </c>
      <c r="D48" s="840">
        <v>0</v>
      </c>
      <c r="E48" s="836">
        <v>0</v>
      </c>
      <c r="F48" s="841">
        <v>0</v>
      </c>
      <c r="G48" s="842" t="s">
        <v>549</v>
      </c>
      <c r="H48" s="892"/>
      <c r="I48" s="381">
        <f>IF(OR(A48="KlGr",A48="GL"),3.25*C48/100*E48*F48,VLOOKUP(B48,'Daten Ernteprodukte'!$B$51:$N$67,11,FALSE)*E48*F48)</f>
        <v>0</v>
      </c>
      <c r="J48" s="886">
        <f>IF(OR(A48="GL",A48="FG"),D48/6.25,VLOOKUP(Pflanzenbau!B48,'Daten Ernteprodukte'!$B$51:$K$67,8,FALSE))</f>
        <v>0</v>
      </c>
      <c r="K48" s="886">
        <f>IF(OR(A48="GL",A48="FG"),-0.06*(D48/6.25)^2+0.43*(D48/6.25)+0.2,VLOOKUP($B48,'Daten Ernteprodukte'!$B$51:$N$67,9,FALSE))</f>
        <v>0</v>
      </c>
      <c r="L48" s="887">
        <f>IF(OR(A48="GL",A48="FG"),-0.22*(D48/6.25)^2+1.57*(D48/6.25)+0.24,VLOOKUP($B48,'Daten Ernteprodukte'!$B$51:$N$67,10,FALSE))</f>
        <v>0</v>
      </c>
      <c r="M48" s="472"/>
      <c r="N48" s="472"/>
      <c r="O48" s="472"/>
      <c r="P48" s="468">
        <f>IF(AND(G48="Verfütterung Wiederkäuer",VLOOKUP(B48,'Daten Ernteprodukte'!$B$51:$N$67,13,FALSE)="AL"),Pflanzenbau!F48,0)</f>
        <v>0</v>
      </c>
      <c r="Q48" s="471">
        <f>IF(AND(G48="Verfütterung Wiederkäuer",VLOOKUP(B48,'Daten Ernteprodukte'!$B$51:$N$67,13,FALSE)="GL"),Pflanzenbau!F48,0)</f>
        <v>0</v>
      </c>
      <c r="R48" s="472">
        <f t="shared" si="9"/>
        <v>0</v>
      </c>
      <c r="S48" s="473">
        <f t="shared" si="10"/>
        <v>0</v>
      </c>
      <c r="T48" s="534">
        <f t="shared" si="11"/>
        <v>0</v>
      </c>
      <c r="U48" s="475">
        <f t="shared" si="12"/>
        <v>0</v>
      </c>
      <c r="V48" s="1292">
        <f t="shared" si="13"/>
        <v>0</v>
      </c>
      <c r="W48" s="1292"/>
      <c r="X48" s="1292">
        <f t="shared" si="14"/>
        <v>0</v>
      </c>
      <c r="Y48" s="1292"/>
      <c r="Z48" s="476">
        <f t="shared" si="15"/>
        <v>0</v>
      </c>
    </row>
    <row r="49" spans="1:26" ht="15.75">
      <c r="A49" s="797">
        <f>VLOOKUP(B49,'Daten Ernteprodukte'!$B$5:$C$96,2,FALSE)</f>
        <v>0</v>
      </c>
      <c r="B49" s="835" t="s">
        <v>163</v>
      </c>
      <c r="C49" s="835">
        <v>0</v>
      </c>
      <c r="D49" s="840">
        <v>0</v>
      </c>
      <c r="E49" s="836">
        <v>0</v>
      </c>
      <c r="F49" s="841">
        <v>0</v>
      </c>
      <c r="G49" s="842" t="s">
        <v>549</v>
      </c>
      <c r="H49" s="892"/>
      <c r="I49" s="381">
        <f>IF(OR(A49="KlGr",A49="GL"),3.25*C49/100*E49*F49,VLOOKUP(B49,'Daten Ernteprodukte'!$B$51:$N$67,11,FALSE)*E49*F49)</f>
        <v>0</v>
      </c>
      <c r="J49" s="886">
        <f>IF(OR(A49="GL",A49="FG"),D49/6.25,VLOOKUP(Pflanzenbau!B49,'Daten Ernteprodukte'!$B$51:$K$67,8,FALSE))</f>
        <v>0</v>
      </c>
      <c r="K49" s="886">
        <f>IF(OR(A49="GL",A49="FG"),-0.06*(D49/6.25)^2+0.43*(D49/6.25)+0.2,VLOOKUP($B49,'Daten Ernteprodukte'!$B$51:$N$67,9,FALSE))</f>
        <v>0</v>
      </c>
      <c r="L49" s="887">
        <f>IF(OR(A49="GL",A49="FG"),-0.22*(D49/6.25)^2+1.57*(D49/6.25)+0.24,VLOOKUP($B49,'Daten Ernteprodukte'!$B$51:$N$67,10,FALSE))</f>
        <v>0</v>
      </c>
      <c r="M49" s="472"/>
      <c r="N49" s="472"/>
      <c r="O49" s="472"/>
      <c r="P49" s="468">
        <f>IF(AND(G49="Verfütterung Wiederkäuer",VLOOKUP(B49,'Daten Ernteprodukte'!$B$51:$N$67,13,FALSE)="AL"),Pflanzenbau!F49,0)</f>
        <v>0</v>
      </c>
      <c r="Q49" s="471">
        <f>IF(AND(G49="Verfütterung Wiederkäuer",VLOOKUP(B49,'Daten Ernteprodukte'!$B$51:$N$67,13,FALSE)="GL"),Pflanzenbau!F49,0)</f>
        <v>0</v>
      </c>
      <c r="R49" s="472">
        <f t="shared" si="9"/>
        <v>0</v>
      </c>
      <c r="S49" s="473">
        <f t="shared" si="10"/>
        <v>0</v>
      </c>
      <c r="T49" s="534">
        <f t="shared" si="11"/>
        <v>0</v>
      </c>
      <c r="U49" s="475">
        <f t="shared" si="12"/>
        <v>0</v>
      </c>
      <c r="V49" s="1292">
        <f t="shared" si="13"/>
        <v>0</v>
      </c>
      <c r="W49" s="1292"/>
      <c r="X49" s="1292">
        <f t="shared" si="14"/>
        <v>0</v>
      </c>
      <c r="Y49" s="1292"/>
      <c r="Z49" s="476">
        <f t="shared" si="15"/>
        <v>0</v>
      </c>
    </row>
    <row r="50" spans="1:26" ht="15.75">
      <c r="A50" s="797">
        <f>VLOOKUP(B50,'Daten Ernteprodukte'!$B$5:$C$96,2,FALSE)</f>
        <v>0</v>
      </c>
      <c r="B50" s="835" t="s">
        <v>163</v>
      </c>
      <c r="C50" s="835">
        <v>0</v>
      </c>
      <c r="D50" s="840">
        <v>0</v>
      </c>
      <c r="E50" s="836">
        <v>0</v>
      </c>
      <c r="F50" s="841">
        <v>0</v>
      </c>
      <c r="G50" s="842" t="s">
        <v>549</v>
      </c>
      <c r="H50" s="892"/>
      <c r="I50" s="381">
        <f>IF(OR(A50="KlGr",A50="GL"),3.25*C50/100*E50*F50,VLOOKUP(B50,'Daten Ernteprodukte'!$B$51:$N$67,11,FALSE)*E50*F50)</f>
        <v>0</v>
      </c>
      <c r="J50" s="886">
        <f>IF(OR(A50="GL",A50="FG"),D50/6.25,VLOOKUP(Pflanzenbau!B50,'Daten Ernteprodukte'!$B$51:$K$67,8,FALSE))</f>
        <v>0</v>
      </c>
      <c r="K50" s="886">
        <f>IF(OR(A50="GL",A50="FG"),-0.06*(D50/6.25)^2+0.43*(D50/6.25)+0.2,VLOOKUP($B50,'Daten Ernteprodukte'!$B$51:$N$67,9,FALSE))</f>
        <v>0</v>
      </c>
      <c r="L50" s="887">
        <f>IF(OR(A50="GL",A50="FG"),-0.22*(D50/6.25)^2+1.57*(D50/6.25)+0.24,VLOOKUP($B50,'Daten Ernteprodukte'!$B$51:$N$67,10,FALSE))</f>
        <v>0</v>
      </c>
      <c r="M50" s="472"/>
      <c r="N50" s="472"/>
      <c r="O50" s="472"/>
      <c r="P50" s="468">
        <f>IF(AND(G50="Verfütterung Wiederkäuer",VLOOKUP(B50,'Daten Ernteprodukte'!$B$51:$N$67,13,FALSE)="AL"),Pflanzenbau!F50,0)</f>
        <v>0</v>
      </c>
      <c r="Q50" s="471">
        <f>IF(AND(G50="Verfütterung Wiederkäuer",VLOOKUP(B50,'Daten Ernteprodukte'!$B$51:$N$67,13,FALSE)="GL"),Pflanzenbau!F50,0)</f>
        <v>0</v>
      </c>
      <c r="R50" s="472">
        <f t="shared" si="9"/>
        <v>0</v>
      </c>
      <c r="S50" s="473">
        <f t="shared" si="10"/>
        <v>0</v>
      </c>
      <c r="T50" s="534">
        <f t="shared" si="11"/>
        <v>0</v>
      </c>
      <c r="U50" s="475">
        <f t="shared" si="12"/>
        <v>0</v>
      </c>
      <c r="V50" s="1292">
        <f t="shared" si="13"/>
        <v>0</v>
      </c>
      <c r="W50" s="1292"/>
      <c r="X50" s="1292">
        <f t="shared" si="14"/>
        <v>0</v>
      </c>
      <c r="Y50" s="1292"/>
      <c r="Z50" s="476">
        <f t="shared" si="15"/>
        <v>0</v>
      </c>
    </row>
    <row r="51" spans="1:26" ht="15.75">
      <c r="A51" s="797">
        <f>VLOOKUP(B51,'Daten Ernteprodukte'!$B$5:$C$96,2,FALSE)</f>
        <v>0</v>
      </c>
      <c r="B51" s="835" t="s">
        <v>163</v>
      </c>
      <c r="C51" s="835">
        <v>0</v>
      </c>
      <c r="D51" s="840">
        <v>0</v>
      </c>
      <c r="E51" s="836">
        <v>0</v>
      </c>
      <c r="F51" s="841">
        <v>0</v>
      </c>
      <c r="G51" s="842" t="s">
        <v>549</v>
      </c>
      <c r="H51" s="892"/>
      <c r="I51" s="381">
        <f>IF(OR(A51="KlGr",A51="GL"),3.25*C51/100*E51*F51,VLOOKUP(B51,'Daten Ernteprodukte'!$B$51:$N$67,11,FALSE)*E51*F51)</f>
        <v>0</v>
      </c>
      <c r="J51" s="886">
        <f>IF(OR(A51="GL",A51="FG"),D51/6.25,VLOOKUP(Pflanzenbau!B51,'Daten Ernteprodukte'!$B$51:$K$67,8,FALSE))</f>
        <v>0</v>
      </c>
      <c r="K51" s="886">
        <f>IF(OR(A51="GL",A51="FG"),-0.06*(D51/6.25)^2+0.43*(D51/6.25)+0.2,VLOOKUP($B51,'Daten Ernteprodukte'!$B$51:$N$67,9,FALSE))</f>
        <v>0</v>
      </c>
      <c r="L51" s="887">
        <f>IF(OR(A51="GL",A51="FG"),-0.22*(D51/6.25)^2+1.57*(D51/6.25)+0.24,VLOOKUP($B51,'Daten Ernteprodukte'!$B$51:$N$67,10,FALSE))</f>
        <v>0</v>
      </c>
      <c r="M51" s="472"/>
      <c r="N51" s="472"/>
      <c r="O51" s="472"/>
      <c r="P51" s="468">
        <f>IF(AND(G51="Verfütterung Wiederkäuer",VLOOKUP(B51,'Daten Ernteprodukte'!$B$51:$N$67,13,FALSE)="AL"),Pflanzenbau!F51,0)</f>
        <v>0</v>
      </c>
      <c r="Q51" s="471">
        <f>IF(AND(G51="Verfütterung Wiederkäuer",VLOOKUP(B51,'Daten Ernteprodukte'!$B$51:$N$67,13,FALSE)="GL"),Pflanzenbau!F51,0)</f>
        <v>0</v>
      </c>
      <c r="R51" s="472">
        <f t="shared" si="9"/>
        <v>0</v>
      </c>
      <c r="S51" s="473">
        <f t="shared" si="10"/>
        <v>0</v>
      </c>
      <c r="T51" s="534">
        <f t="shared" si="11"/>
        <v>0</v>
      </c>
      <c r="U51" s="475">
        <f t="shared" si="12"/>
        <v>0</v>
      </c>
      <c r="V51" s="1292">
        <f t="shared" si="13"/>
        <v>0</v>
      </c>
      <c r="W51" s="1292"/>
      <c r="X51" s="1292">
        <f t="shared" si="14"/>
        <v>0</v>
      </c>
      <c r="Y51" s="1292"/>
      <c r="Z51" s="476">
        <f t="shared" si="15"/>
        <v>0</v>
      </c>
    </row>
    <row r="52" spans="1:26" ht="15.75">
      <c r="A52" s="797">
        <f>VLOOKUP(B52,'Daten Ernteprodukte'!$B$5:$C$96,2,FALSE)</f>
        <v>0</v>
      </c>
      <c r="B52" s="835" t="s">
        <v>163</v>
      </c>
      <c r="C52" s="835">
        <v>0</v>
      </c>
      <c r="D52" s="840">
        <v>0</v>
      </c>
      <c r="E52" s="836">
        <v>0</v>
      </c>
      <c r="F52" s="841">
        <v>0</v>
      </c>
      <c r="G52" s="842" t="s">
        <v>549</v>
      </c>
      <c r="H52" s="892"/>
      <c r="I52" s="381">
        <f>IF(OR(A52="KlGr",A52="GL"),3.25*C52/100*E52*F52,VLOOKUP(B52,'Daten Ernteprodukte'!$B$51:$N$67,11,FALSE)*E52*F52)</f>
        <v>0</v>
      </c>
      <c r="J52" s="886">
        <f>IF(OR(A52="GL",A52="FG"),D52/6.25,VLOOKUP(Pflanzenbau!B52,'Daten Ernteprodukte'!$B$51:$K$67,8,FALSE))</f>
        <v>0</v>
      </c>
      <c r="K52" s="886">
        <f>IF(OR(A52="GL",A52="FG"),-0.06*(D52/6.25)^2+0.43*(D52/6.25)+0.2,VLOOKUP($B52,'Daten Ernteprodukte'!$B$51:$N$67,9,FALSE))</f>
        <v>0</v>
      </c>
      <c r="L52" s="887">
        <f>IF(OR(A52="GL",A52="FG"),-0.22*(D52/6.25)^2+1.57*(D52/6.25)+0.24,VLOOKUP($B52,'Daten Ernteprodukte'!$B$51:$N$67,10,FALSE))</f>
        <v>0</v>
      </c>
      <c r="M52" s="472"/>
      <c r="N52" s="472"/>
      <c r="O52" s="472"/>
      <c r="P52" s="468">
        <f>IF(AND(G52="Verfütterung Wiederkäuer",VLOOKUP(B52,'Daten Ernteprodukte'!$B$51:$N$67,13,FALSE)="AL"),Pflanzenbau!F52,0)</f>
        <v>0</v>
      </c>
      <c r="Q52" s="471">
        <f>IF(AND(G52="Verfütterung Wiederkäuer",VLOOKUP(B52,'Daten Ernteprodukte'!$B$51:$N$67,13,FALSE)="GL"),Pflanzenbau!F52,0)</f>
        <v>0</v>
      </c>
      <c r="R52" s="472">
        <f t="shared" si="9"/>
        <v>0</v>
      </c>
      <c r="S52" s="473">
        <f t="shared" si="10"/>
        <v>0</v>
      </c>
      <c r="T52" s="534">
        <f t="shared" si="11"/>
        <v>0</v>
      </c>
      <c r="U52" s="475">
        <f t="shared" si="12"/>
        <v>0</v>
      </c>
      <c r="V52" s="1292">
        <f t="shared" si="13"/>
        <v>0</v>
      </c>
      <c r="W52" s="1292"/>
      <c r="X52" s="1292">
        <f t="shared" si="14"/>
        <v>0</v>
      </c>
      <c r="Y52" s="1292"/>
      <c r="Z52" s="476">
        <f t="shared" si="15"/>
        <v>0</v>
      </c>
    </row>
    <row r="53" spans="1:26" ht="15.75">
      <c r="A53" s="797">
        <f>VLOOKUP(B53,'Daten Ernteprodukte'!$B$5:$C$96,2,FALSE)</f>
        <v>0</v>
      </c>
      <c r="B53" s="835" t="s">
        <v>163</v>
      </c>
      <c r="C53" s="835">
        <v>0</v>
      </c>
      <c r="D53" s="840">
        <v>0</v>
      </c>
      <c r="E53" s="836">
        <v>0</v>
      </c>
      <c r="F53" s="841">
        <v>0</v>
      </c>
      <c r="G53" s="842" t="s">
        <v>549</v>
      </c>
      <c r="H53" s="892"/>
      <c r="I53" s="381">
        <f>IF(OR(A53="KlGr",A53="GL"),3.25*C53/100*E53*F53,VLOOKUP(B53,'Daten Ernteprodukte'!$B$51:$N$67,11,FALSE)*E53*F53)</f>
        <v>0</v>
      </c>
      <c r="J53" s="886">
        <f>IF(OR(A53="GL",A53="FG"),D53/6.25,VLOOKUP(Pflanzenbau!B53,'Daten Ernteprodukte'!$B$51:$K$67,8,FALSE))</f>
        <v>0</v>
      </c>
      <c r="K53" s="886">
        <f>IF(OR(A53="GL",A53="FG"),-0.06*(D53/6.25)^2+0.43*(D53/6.25)+0.2,VLOOKUP($B53,'Daten Ernteprodukte'!$B$51:$N$67,9,FALSE))</f>
        <v>0</v>
      </c>
      <c r="L53" s="887">
        <f>IF(OR(A53="GL",A53="FG"),-0.22*(D53/6.25)^2+1.57*(D53/6.25)+0.24,VLOOKUP($B53,'Daten Ernteprodukte'!$B$51:$N$67,10,FALSE))</f>
        <v>0</v>
      </c>
      <c r="M53" s="472"/>
      <c r="N53" s="472"/>
      <c r="O53" s="472"/>
      <c r="P53" s="468">
        <f>IF(AND(G53="Verfütterung Wiederkäuer",VLOOKUP(B53,'Daten Ernteprodukte'!$B$51:$N$67,13,FALSE)="AL"),Pflanzenbau!F53,0)</f>
        <v>0</v>
      </c>
      <c r="Q53" s="471">
        <f>IF(AND(G53="Verfütterung Wiederkäuer",VLOOKUP(B53,'Daten Ernteprodukte'!$B$51:$N$67,13,FALSE)="GL"),Pflanzenbau!F53,0)</f>
        <v>0</v>
      </c>
      <c r="R53" s="472">
        <f t="shared" si="9"/>
        <v>0</v>
      </c>
      <c r="S53" s="473">
        <f t="shared" si="10"/>
        <v>0</v>
      </c>
      <c r="T53" s="534">
        <f t="shared" si="11"/>
        <v>0</v>
      </c>
      <c r="U53" s="475">
        <f t="shared" si="12"/>
        <v>0</v>
      </c>
      <c r="V53" s="1292">
        <f t="shared" si="13"/>
        <v>0</v>
      </c>
      <c r="W53" s="1292"/>
      <c r="X53" s="1292">
        <f t="shared" si="14"/>
        <v>0</v>
      </c>
      <c r="Y53" s="1292"/>
      <c r="Z53" s="476">
        <f t="shared" si="15"/>
        <v>0</v>
      </c>
    </row>
    <row r="54" spans="1:26" ht="15.75">
      <c r="A54" s="797">
        <f>VLOOKUP(B54,'Daten Ernteprodukte'!$B$5:$C$96,2,FALSE)</f>
        <v>0</v>
      </c>
      <c r="B54" s="835" t="s">
        <v>163</v>
      </c>
      <c r="C54" s="835">
        <v>0</v>
      </c>
      <c r="D54" s="840">
        <v>0</v>
      </c>
      <c r="E54" s="836">
        <v>0</v>
      </c>
      <c r="F54" s="841">
        <v>0</v>
      </c>
      <c r="G54" s="842" t="s">
        <v>549</v>
      </c>
      <c r="H54" s="892"/>
      <c r="I54" s="381">
        <f>IF(OR(A54="KlGr",A54="GL"),3.25*C54/100*E54*F54,VLOOKUP(B54,'Daten Ernteprodukte'!$B$51:$N$67,11,FALSE)*E54*F54)</f>
        <v>0</v>
      </c>
      <c r="J54" s="886">
        <f>IF(OR(A54="GL",A54="FG"),D54/6.25,VLOOKUP(Pflanzenbau!B54,'Daten Ernteprodukte'!$B$51:$K$67,8,FALSE))</f>
        <v>0</v>
      </c>
      <c r="K54" s="886">
        <f>IF(OR(A54="GL",A54="FG"),-0.06*(D54/6.25)^2+0.43*(D54/6.25)+0.2,VLOOKUP($B54,'Daten Ernteprodukte'!$B$51:$N$67,9,FALSE))</f>
        <v>0</v>
      </c>
      <c r="L54" s="887">
        <f>IF(OR(A54="GL",A54="FG"),-0.22*(D54/6.25)^2+1.57*(D54/6.25)+0.24,VLOOKUP($B54,'Daten Ernteprodukte'!$B$51:$N$67,10,FALSE))</f>
        <v>0</v>
      </c>
      <c r="M54" s="472"/>
      <c r="N54" s="472"/>
      <c r="O54" s="472"/>
      <c r="P54" s="468">
        <f>IF(AND(G54="Verfütterung Wiederkäuer",VLOOKUP(B54,'Daten Ernteprodukte'!$B$51:$N$67,13,FALSE)="AL"),Pflanzenbau!F54,0)</f>
        <v>0</v>
      </c>
      <c r="Q54" s="471">
        <f>IF(AND(G54="Verfütterung Wiederkäuer",VLOOKUP(B54,'Daten Ernteprodukte'!$B$51:$N$67,13,FALSE)="GL"),Pflanzenbau!F54,0)</f>
        <v>0</v>
      </c>
      <c r="R54" s="472">
        <f t="shared" si="9"/>
        <v>0</v>
      </c>
      <c r="S54" s="473">
        <f t="shared" si="10"/>
        <v>0</v>
      </c>
      <c r="T54" s="534">
        <f t="shared" si="11"/>
        <v>0</v>
      </c>
      <c r="U54" s="475">
        <f t="shared" si="12"/>
        <v>0</v>
      </c>
      <c r="V54" s="1292">
        <f t="shared" si="13"/>
        <v>0</v>
      </c>
      <c r="W54" s="1292"/>
      <c r="X54" s="1292">
        <f t="shared" si="14"/>
        <v>0</v>
      </c>
      <c r="Y54" s="1292"/>
      <c r="Z54" s="476">
        <f t="shared" si="15"/>
        <v>0</v>
      </c>
    </row>
    <row r="55" spans="1:26" ht="15.75">
      <c r="A55" s="797">
        <f>VLOOKUP(B55,'Daten Ernteprodukte'!$B$5:$C$96,2,FALSE)</f>
        <v>0</v>
      </c>
      <c r="B55" s="835" t="s">
        <v>163</v>
      </c>
      <c r="C55" s="835">
        <v>0</v>
      </c>
      <c r="D55" s="840">
        <v>0</v>
      </c>
      <c r="E55" s="836">
        <v>0</v>
      </c>
      <c r="F55" s="841">
        <v>0</v>
      </c>
      <c r="G55" s="842" t="s">
        <v>549</v>
      </c>
      <c r="H55" s="892"/>
      <c r="I55" s="381">
        <f>IF(OR(A55="KlGr",A55="GL"),3.25*C55/100*E55*F55,VLOOKUP(B55,'Daten Ernteprodukte'!$B$51:$N$67,11,FALSE)*E55*F55)</f>
        <v>0</v>
      </c>
      <c r="J55" s="886">
        <f>IF(OR(A55="GL",A55="FG"),D55/6.25,VLOOKUP(Pflanzenbau!B55,'Daten Ernteprodukte'!$B$51:$K$67,8,FALSE))</f>
        <v>0</v>
      </c>
      <c r="K55" s="886">
        <f>IF(OR(A55="GL",A55="FG"),-0.06*(D55/6.25)^2+0.43*(D55/6.25)+0.2,VLOOKUP($B55,'Daten Ernteprodukte'!$B$51:$N$67,9,FALSE))</f>
        <v>0</v>
      </c>
      <c r="L55" s="887">
        <f>IF(OR(A55="GL",A55="FG"),-0.22*(D55/6.25)^2+1.57*(D55/6.25)+0.24,VLOOKUP($B55,'Daten Ernteprodukte'!$B$51:$N$67,10,FALSE))</f>
        <v>0</v>
      </c>
      <c r="M55" s="472"/>
      <c r="N55" s="472"/>
      <c r="O55" s="472"/>
      <c r="P55" s="468">
        <f>IF(AND(G55="Verfütterung Wiederkäuer",VLOOKUP(B55,'Daten Ernteprodukte'!$B$51:$N$67,13,FALSE)="AL"),Pflanzenbau!F55,0)</f>
        <v>0</v>
      </c>
      <c r="Q55" s="471">
        <f>IF(AND(G55="Verfütterung Wiederkäuer",VLOOKUP(B55,'Daten Ernteprodukte'!$B$51:$N$67,13,FALSE)="GL"),Pflanzenbau!F55,0)</f>
        <v>0</v>
      </c>
      <c r="R55" s="472">
        <f t="shared" si="9"/>
        <v>0</v>
      </c>
      <c r="S55" s="473">
        <f t="shared" si="10"/>
        <v>0</v>
      </c>
      <c r="T55" s="534">
        <f t="shared" si="11"/>
        <v>0</v>
      </c>
      <c r="U55" s="475">
        <f t="shared" si="12"/>
        <v>0</v>
      </c>
      <c r="V55" s="1292">
        <f t="shared" si="13"/>
        <v>0</v>
      </c>
      <c r="W55" s="1292"/>
      <c r="X55" s="1292">
        <f t="shared" si="14"/>
        <v>0</v>
      </c>
      <c r="Y55" s="1292"/>
      <c r="Z55" s="476">
        <f t="shared" si="15"/>
        <v>0</v>
      </c>
    </row>
    <row r="56" spans="1:26" ht="15.75">
      <c r="A56" s="797">
        <f>VLOOKUP(B56,'Daten Ernteprodukte'!$B$5:$C$96,2,FALSE)</f>
        <v>0</v>
      </c>
      <c r="B56" s="835" t="s">
        <v>163</v>
      </c>
      <c r="C56" s="835">
        <v>0</v>
      </c>
      <c r="D56" s="840">
        <v>0</v>
      </c>
      <c r="E56" s="836">
        <v>0</v>
      </c>
      <c r="F56" s="841">
        <v>0</v>
      </c>
      <c r="G56" s="842" t="s">
        <v>549</v>
      </c>
      <c r="H56" s="892"/>
      <c r="I56" s="381">
        <f>IF(OR(A56="KlGr",A56="GL"),3.25*C56/100*E56*F56,VLOOKUP(B56,'Daten Ernteprodukte'!$B$51:$N$67,11,FALSE)*E56*F56)</f>
        <v>0</v>
      </c>
      <c r="J56" s="886">
        <f>IF(OR(A56="GL",A56="FG"),D56/6.25,VLOOKUP(Pflanzenbau!B56,'Daten Ernteprodukte'!$B$51:$K$67,8,FALSE))</f>
        <v>0</v>
      </c>
      <c r="K56" s="886">
        <f>IF(OR(A56="GL",A56="FG"),-0.06*(D56/6.25)^2+0.43*(D56/6.25)+0.2,VLOOKUP($B56,'Daten Ernteprodukte'!$B$51:$N$67,9,FALSE))</f>
        <v>0</v>
      </c>
      <c r="L56" s="887">
        <f>IF(OR(A56="GL",A56="FG"),-0.22*(D56/6.25)^2+1.57*(D56/6.25)+0.24,VLOOKUP($B56,'Daten Ernteprodukte'!$B$51:$N$67,10,FALSE))</f>
        <v>0</v>
      </c>
      <c r="M56" s="472"/>
      <c r="N56" s="472"/>
      <c r="O56" s="472"/>
      <c r="P56" s="468">
        <f>IF(AND(G56="Verfütterung Wiederkäuer",VLOOKUP(B56,'Daten Ernteprodukte'!$B$51:$N$67,13,FALSE)="AL"),Pflanzenbau!F56,0)</f>
        <v>0</v>
      </c>
      <c r="Q56" s="471">
        <f>IF(AND(G56="Verfütterung Wiederkäuer",VLOOKUP(B56,'Daten Ernteprodukte'!$B$51:$N$67,13,FALSE)="GL"),Pflanzenbau!F56,0)</f>
        <v>0</v>
      </c>
      <c r="R56" s="472">
        <f t="shared" si="9"/>
        <v>0</v>
      </c>
      <c r="S56" s="473">
        <f t="shared" si="10"/>
        <v>0</v>
      </c>
      <c r="T56" s="534">
        <f t="shared" si="11"/>
        <v>0</v>
      </c>
      <c r="U56" s="475">
        <f t="shared" si="12"/>
        <v>0</v>
      </c>
      <c r="V56" s="1292">
        <f t="shared" si="13"/>
        <v>0</v>
      </c>
      <c r="W56" s="1292"/>
      <c r="X56" s="1292">
        <f t="shared" si="14"/>
        <v>0</v>
      </c>
      <c r="Y56" s="1292"/>
      <c r="Z56" s="476">
        <f t="shared" si="15"/>
        <v>0</v>
      </c>
    </row>
    <row r="57" spans="1:26" ht="15.75">
      <c r="A57" s="797">
        <f>VLOOKUP(B57,'Daten Ernteprodukte'!$B$5:$C$96,2,FALSE)</f>
        <v>0</v>
      </c>
      <c r="B57" s="835" t="s">
        <v>163</v>
      </c>
      <c r="C57" s="835">
        <v>0</v>
      </c>
      <c r="D57" s="840">
        <v>0</v>
      </c>
      <c r="E57" s="836">
        <v>0</v>
      </c>
      <c r="F57" s="841">
        <v>0</v>
      </c>
      <c r="G57" s="842" t="s">
        <v>549</v>
      </c>
      <c r="H57" s="892"/>
      <c r="I57" s="381">
        <f>IF(OR(A57="KlGr",A57="GL"),3.25*C57/100*E57*F57,VLOOKUP(B57,'Daten Ernteprodukte'!$B$51:$N$67,11,FALSE)*E57*F57)</f>
        <v>0</v>
      </c>
      <c r="J57" s="886">
        <f>IF(OR(A57="GL",A57="FG"),D57/6.25,VLOOKUP(Pflanzenbau!B57,'Daten Ernteprodukte'!$B$51:$K$67,8,FALSE))</f>
        <v>0</v>
      </c>
      <c r="K57" s="886">
        <f>IF(OR(A57="GL",A57="FG"),-0.06*(D57/6.25)^2+0.43*(D57/6.25)+0.2,VLOOKUP($B57,'Daten Ernteprodukte'!$B$51:$N$67,9,FALSE))</f>
        <v>0</v>
      </c>
      <c r="L57" s="887">
        <f>IF(OR(A57="GL",A57="FG"),-0.22*(D57/6.25)^2+1.57*(D57/6.25)+0.24,VLOOKUP($B57,'Daten Ernteprodukte'!$B$51:$N$67,10,FALSE))</f>
        <v>0</v>
      </c>
      <c r="M57" s="472"/>
      <c r="N57" s="472"/>
      <c r="O57" s="472"/>
      <c r="P57" s="468">
        <f>IF(AND(G57="Verfütterung Wiederkäuer",VLOOKUP(B57,'Daten Ernteprodukte'!$B$51:$N$67,13,FALSE)="AL"),Pflanzenbau!F57,0)</f>
        <v>0</v>
      </c>
      <c r="Q57" s="471">
        <f>IF(AND(G57="Verfütterung Wiederkäuer",VLOOKUP(B57,'Daten Ernteprodukte'!$B$51:$N$67,13,FALSE)="GL"),Pflanzenbau!F57,0)</f>
        <v>0</v>
      </c>
      <c r="R57" s="472">
        <f t="shared" si="9"/>
        <v>0</v>
      </c>
      <c r="S57" s="473">
        <f t="shared" si="10"/>
        <v>0</v>
      </c>
      <c r="T57" s="534">
        <f t="shared" si="11"/>
        <v>0</v>
      </c>
      <c r="U57" s="475">
        <f t="shared" si="12"/>
        <v>0</v>
      </c>
      <c r="V57" s="1292">
        <f t="shared" si="13"/>
        <v>0</v>
      </c>
      <c r="W57" s="1292"/>
      <c r="X57" s="1292">
        <f t="shared" si="14"/>
        <v>0</v>
      </c>
      <c r="Y57" s="1292"/>
      <c r="Z57" s="476">
        <f t="shared" si="15"/>
        <v>0</v>
      </c>
    </row>
    <row r="58" spans="1:26" ht="15.75">
      <c r="A58" s="797">
        <f>VLOOKUP(B58,'Daten Ernteprodukte'!$B$5:$C$96,2,FALSE)</f>
        <v>0</v>
      </c>
      <c r="B58" s="835" t="s">
        <v>163</v>
      </c>
      <c r="C58" s="835">
        <v>0</v>
      </c>
      <c r="D58" s="840">
        <v>0</v>
      </c>
      <c r="E58" s="838">
        <v>0</v>
      </c>
      <c r="F58" s="841">
        <v>0</v>
      </c>
      <c r="G58" s="842" t="s">
        <v>549</v>
      </c>
      <c r="H58" s="892"/>
      <c r="I58" s="381">
        <f>IF(OR(A58="KlGr",A58="GL"),3.25*C58/100*E58*F58,VLOOKUP(B58,'Daten Ernteprodukte'!$B$51:$N$67,11,FALSE)*E58*F58)</f>
        <v>0</v>
      </c>
      <c r="J58" s="886">
        <f>IF(OR(A58="GL",A58="FG"),D58/6.25,VLOOKUP(Pflanzenbau!B58,'Daten Ernteprodukte'!$B$51:$K$67,8,FALSE))</f>
        <v>0</v>
      </c>
      <c r="K58" s="886">
        <f>IF(OR(A58="GL",A58="FG"),-0.06*(D58/6.25)^2+0.43*(D58/6.25)+0.2,VLOOKUP($B58,'Daten Ernteprodukte'!$B$51:$N$67,9,FALSE))</f>
        <v>0</v>
      </c>
      <c r="L58" s="887">
        <f>IF(OR(A58="GL",A58="FG"),-0.22*(D58/6.25)^2+1.57*(D58/6.25)+0.24,VLOOKUP($B58,'Daten Ernteprodukte'!$B$51:$N$67,10,FALSE))</f>
        <v>0</v>
      </c>
      <c r="M58" s="472"/>
      <c r="N58" s="472"/>
      <c r="O58" s="472"/>
      <c r="P58" s="468">
        <f>IF(AND(G58="Verfütterung Wiederkäuer",VLOOKUP(B58,'Daten Ernteprodukte'!$B$51:$N$67,13,FALSE)="AL"),Pflanzenbau!F58,0)</f>
        <v>0</v>
      </c>
      <c r="Q58" s="471">
        <f>IF(AND(G58="Verfütterung Wiederkäuer",VLOOKUP(B58,'Daten Ernteprodukte'!$B$51:$N$67,13,FALSE)="GL"),Pflanzenbau!F58,0)</f>
        <v>0</v>
      </c>
      <c r="R58" s="472">
        <f t="shared" si="9"/>
        <v>0</v>
      </c>
      <c r="S58" s="473">
        <f t="shared" si="10"/>
        <v>0</v>
      </c>
      <c r="T58" s="534">
        <f t="shared" si="11"/>
        <v>0</v>
      </c>
      <c r="U58" s="475">
        <f t="shared" si="12"/>
        <v>0</v>
      </c>
      <c r="V58" s="1292">
        <f t="shared" si="13"/>
        <v>0</v>
      </c>
      <c r="W58" s="1292"/>
      <c r="X58" s="1292">
        <f t="shared" si="14"/>
        <v>0</v>
      </c>
      <c r="Y58" s="1292"/>
      <c r="Z58" s="476">
        <f t="shared" si="15"/>
        <v>0</v>
      </c>
    </row>
    <row r="59" spans="1:26" ht="15.75">
      <c r="A59" s="797">
        <f>VLOOKUP(B59,'Daten Ernteprodukte'!$B$5:$C$96,2,FALSE)</f>
        <v>0</v>
      </c>
      <c r="B59" s="835" t="s">
        <v>163</v>
      </c>
      <c r="C59" s="835">
        <v>0</v>
      </c>
      <c r="D59" s="840">
        <v>0</v>
      </c>
      <c r="E59" s="838">
        <v>0</v>
      </c>
      <c r="F59" s="841">
        <v>0</v>
      </c>
      <c r="G59" s="842" t="s">
        <v>549</v>
      </c>
      <c r="H59" s="892"/>
      <c r="I59" s="381">
        <f>IF(OR(A59="KlGr",A59="GL"),3.25*C59/100*E59*F59,VLOOKUP(B59,'Daten Ernteprodukte'!$B$51:$N$67,11,FALSE)*E59*F59)</f>
        <v>0</v>
      </c>
      <c r="J59" s="886">
        <f>IF(OR(A59="GL",A59="FG"),D59/6.25,VLOOKUP(Pflanzenbau!B59,'Daten Ernteprodukte'!$B$51:$K$67,8,FALSE))</f>
        <v>0</v>
      </c>
      <c r="K59" s="886">
        <f>IF(OR(A59="GL",A59="FG"),-0.06*(D59/6.25)^2+0.43*(D59/6.25)+0.2,VLOOKUP($B59,'Daten Ernteprodukte'!$B$51:$N$67,9,FALSE))</f>
        <v>0</v>
      </c>
      <c r="L59" s="887">
        <f>IF(OR(A59="GL",A59="FG"),-0.22*(D59/6.25)^2+1.57*(D59/6.25)+0.24,VLOOKUP($B59,'Daten Ernteprodukte'!$B$51:$N$67,10,FALSE))</f>
        <v>0</v>
      </c>
      <c r="M59" s="472"/>
      <c r="N59" s="472"/>
      <c r="O59" s="472"/>
      <c r="P59" s="468">
        <f>IF(AND(G59="Verfütterung Wiederkäuer",VLOOKUP(B59,'Daten Ernteprodukte'!$B$51:$N$67,13,FALSE)="AL"),Pflanzenbau!F59,0)</f>
        <v>0</v>
      </c>
      <c r="Q59" s="471">
        <f>IF(AND(G59="Verfütterung Wiederkäuer",VLOOKUP(B59,'Daten Ernteprodukte'!$B$51:$N$67,13,FALSE)="GL"),Pflanzenbau!F59,0)</f>
        <v>0</v>
      </c>
      <c r="R59" s="472">
        <f t="shared" si="9"/>
        <v>0</v>
      </c>
      <c r="S59" s="473">
        <f t="shared" si="10"/>
        <v>0</v>
      </c>
      <c r="T59" s="534">
        <f t="shared" si="11"/>
        <v>0</v>
      </c>
      <c r="U59" s="475">
        <f t="shared" si="12"/>
        <v>0</v>
      </c>
      <c r="V59" s="1292">
        <f t="shared" si="13"/>
        <v>0</v>
      </c>
      <c r="W59" s="1292"/>
      <c r="X59" s="1292">
        <f t="shared" si="14"/>
        <v>0</v>
      </c>
      <c r="Y59" s="1292"/>
      <c r="Z59" s="476">
        <f t="shared" si="15"/>
        <v>0</v>
      </c>
    </row>
    <row r="60" spans="1:26" ht="15.75">
      <c r="A60" s="797">
        <f>VLOOKUP(B60,'Daten Ernteprodukte'!$B$5:$C$96,2,FALSE)</f>
        <v>0</v>
      </c>
      <c r="B60" s="835" t="s">
        <v>163</v>
      </c>
      <c r="C60" s="835">
        <v>0</v>
      </c>
      <c r="D60" s="840">
        <v>0</v>
      </c>
      <c r="E60" s="838">
        <v>0</v>
      </c>
      <c r="F60" s="841">
        <v>0</v>
      </c>
      <c r="G60" s="842" t="s">
        <v>549</v>
      </c>
      <c r="H60" s="892"/>
      <c r="I60" s="381">
        <f>IF(OR(A60="KlGr",A60="GL"),3.25*C60/100*E60*F60,VLOOKUP(B60,'Daten Ernteprodukte'!$B$51:$N$67,11,FALSE)*E60*F60)</f>
        <v>0</v>
      </c>
      <c r="J60" s="886">
        <f>IF(OR(A60="GL",A60="FG"),D60/6.25,VLOOKUP(Pflanzenbau!B60,'Daten Ernteprodukte'!$B$51:$K$67,8,FALSE))</f>
        <v>0</v>
      </c>
      <c r="K60" s="886">
        <f>IF(OR(A60="GL",A60="FG"),-0.06*(D60/6.25)^2+0.43*(D60/6.25)+0.2,VLOOKUP($B60,'Daten Ernteprodukte'!$B$51:$N$67,9,FALSE))</f>
        <v>0</v>
      </c>
      <c r="L60" s="887">
        <f>IF(OR(A60="GL",A60="FG"),-0.22*(D60/6.25)^2+1.57*(D60/6.25)+0.24,VLOOKUP($B60,'Daten Ernteprodukte'!$B$51:$N$67,10,FALSE))</f>
        <v>0</v>
      </c>
      <c r="M60" s="472"/>
      <c r="N60" s="472"/>
      <c r="O60" s="472"/>
      <c r="P60" s="468">
        <f>IF(AND(G60="Verfütterung Wiederkäuer",VLOOKUP(B60,'Daten Ernteprodukte'!$B$51:$N$67,13,FALSE)="AL"),Pflanzenbau!F60,0)</f>
        <v>0</v>
      </c>
      <c r="Q60" s="471">
        <f>IF(AND(G60="Verfütterung Wiederkäuer",VLOOKUP(B60,'Daten Ernteprodukte'!$B$51:$N$67,13,FALSE)="GL"),Pflanzenbau!F60,0)</f>
        <v>0</v>
      </c>
      <c r="R60" s="472">
        <f t="shared" si="9"/>
        <v>0</v>
      </c>
      <c r="S60" s="473">
        <f t="shared" si="10"/>
        <v>0</v>
      </c>
      <c r="T60" s="534">
        <f t="shared" si="11"/>
        <v>0</v>
      </c>
      <c r="U60" s="475">
        <f t="shared" si="12"/>
        <v>0</v>
      </c>
      <c r="V60" s="1292">
        <f t="shared" si="13"/>
        <v>0</v>
      </c>
      <c r="W60" s="1292"/>
      <c r="X60" s="1292">
        <f t="shared" si="14"/>
        <v>0</v>
      </c>
      <c r="Y60" s="1292"/>
      <c r="Z60" s="476">
        <f t="shared" si="15"/>
        <v>0</v>
      </c>
    </row>
    <row r="61" spans="1:26" ht="15.75">
      <c r="A61" s="797">
        <f>VLOOKUP(B61,'Daten Ernteprodukte'!$B$5:$C$96,2,FALSE)</f>
        <v>0</v>
      </c>
      <c r="B61" s="835" t="s">
        <v>163</v>
      </c>
      <c r="C61" s="835">
        <v>0</v>
      </c>
      <c r="D61" s="840">
        <v>0</v>
      </c>
      <c r="E61" s="838">
        <v>0</v>
      </c>
      <c r="F61" s="841">
        <v>0</v>
      </c>
      <c r="G61" s="842" t="s">
        <v>549</v>
      </c>
      <c r="H61" s="892"/>
      <c r="I61" s="381">
        <f>IF(OR(A61="KlGr",A61="GL"),3.25*C61/100*E61*F61,VLOOKUP(B61,'Daten Ernteprodukte'!$B$51:$N$67,11,FALSE)*E61*F61)</f>
        <v>0</v>
      </c>
      <c r="J61" s="886">
        <f>IF(OR(A61="GL",A61="FG"),D61/6.25,VLOOKUP(Pflanzenbau!B61,'Daten Ernteprodukte'!$B$51:$K$67,8,FALSE))</f>
        <v>0</v>
      </c>
      <c r="K61" s="886">
        <f>IF(OR(A61="GL",A61="FG"),-0.06*(D61/6.25)^2+0.43*(D61/6.25)+0.2,VLOOKUP($B61,'Daten Ernteprodukte'!$B$51:$N$67,9,FALSE))</f>
        <v>0</v>
      </c>
      <c r="L61" s="887">
        <f>IF(OR(A61="GL",A61="FG"),-0.22*(D61/6.25)^2+1.57*(D61/6.25)+0.24,VLOOKUP($B61,'Daten Ernteprodukte'!$B$51:$N$67,10,FALSE))</f>
        <v>0</v>
      </c>
      <c r="M61" s="472"/>
      <c r="N61" s="472"/>
      <c r="O61" s="472"/>
      <c r="P61" s="468">
        <f>IF(AND(G61="Verfütterung Wiederkäuer",VLOOKUP(B61,'Daten Ernteprodukte'!$B$51:$N$67,13,FALSE)="AL"),Pflanzenbau!F61,0)</f>
        <v>0</v>
      </c>
      <c r="Q61" s="471">
        <f>IF(AND(G61="Verfütterung Wiederkäuer",VLOOKUP(B61,'Daten Ernteprodukte'!$B$51:$N$67,13,FALSE)="GL"),Pflanzenbau!F61,0)</f>
        <v>0</v>
      </c>
      <c r="R61" s="472">
        <f t="shared" si="9"/>
        <v>0</v>
      </c>
      <c r="S61" s="473">
        <f t="shared" si="10"/>
        <v>0</v>
      </c>
      <c r="T61" s="534">
        <f t="shared" si="11"/>
        <v>0</v>
      </c>
      <c r="U61" s="475">
        <f t="shared" si="12"/>
        <v>0</v>
      </c>
      <c r="V61" s="1292">
        <f t="shared" si="13"/>
        <v>0</v>
      </c>
      <c r="W61" s="1292"/>
      <c r="X61" s="1292">
        <f t="shared" si="14"/>
        <v>0</v>
      </c>
      <c r="Y61" s="1292"/>
      <c r="Z61" s="476">
        <f t="shared" si="15"/>
        <v>0</v>
      </c>
    </row>
    <row r="62" spans="1:26" ht="15.75">
      <c r="A62" s="797">
        <f>VLOOKUP(B62,'Daten Ernteprodukte'!$B$5:$C$96,2,FALSE)</f>
        <v>0</v>
      </c>
      <c r="B62" s="835" t="s">
        <v>163</v>
      </c>
      <c r="C62" s="835">
        <v>0</v>
      </c>
      <c r="D62" s="840">
        <v>0</v>
      </c>
      <c r="E62" s="838">
        <v>0</v>
      </c>
      <c r="F62" s="841">
        <v>0</v>
      </c>
      <c r="G62" s="842" t="s">
        <v>549</v>
      </c>
      <c r="H62" s="892"/>
      <c r="I62" s="381">
        <f>IF(OR(A62="KlGr",A62="GL"),3.25*C62/100*E62*F62,VLOOKUP(B62,'Daten Ernteprodukte'!$B$51:$N$67,11,FALSE)*E62*F62)</f>
        <v>0</v>
      </c>
      <c r="J62" s="886">
        <f>IF(OR(A62="GL",A62="FG"),D62/6.25,VLOOKUP(Pflanzenbau!B62,'Daten Ernteprodukte'!$B$51:$K$67,8,FALSE))</f>
        <v>0</v>
      </c>
      <c r="K62" s="886">
        <f>IF(OR(A62="GL",A62="FG"),-0.06*(D62/6.25)^2+0.43*(D62/6.25)+0.2,VLOOKUP($B62,'Daten Ernteprodukte'!$B$51:$N$67,9,FALSE))</f>
        <v>0</v>
      </c>
      <c r="L62" s="887">
        <f>IF(OR(A62="GL",A62="FG"),-0.22*(D62/6.25)^2+1.57*(D62/6.25)+0.24,VLOOKUP($B62,'Daten Ernteprodukte'!$B$51:$N$67,10,FALSE))</f>
        <v>0</v>
      </c>
      <c r="M62" s="472"/>
      <c r="N62" s="472"/>
      <c r="O62" s="472"/>
      <c r="P62" s="468">
        <f>IF(AND(G62="Verfütterung Wiederkäuer",VLOOKUP(B62,'Daten Ernteprodukte'!$B$51:$N$67,13,FALSE)="AL"),Pflanzenbau!F62,0)</f>
        <v>0</v>
      </c>
      <c r="Q62" s="471">
        <f>IF(AND(G62="Verfütterung Wiederkäuer",VLOOKUP(B62,'Daten Ernteprodukte'!$B$51:$N$67,13,FALSE)="GL"),Pflanzenbau!F62,0)</f>
        <v>0</v>
      </c>
      <c r="R62" s="472">
        <f t="shared" si="9"/>
        <v>0</v>
      </c>
      <c r="S62" s="473">
        <f t="shared" si="10"/>
        <v>0</v>
      </c>
      <c r="T62" s="534">
        <f t="shared" si="11"/>
        <v>0</v>
      </c>
      <c r="U62" s="475">
        <f t="shared" si="12"/>
        <v>0</v>
      </c>
      <c r="V62" s="1292">
        <f t="shared" si="13"/>
        <v>0</v>
      </c>
      <c r="W62" s="1292"/>
      <c r="X62" s="1292">
        <f t="shared" si="14"/>
        <v>0</v>
      </c>
      <c r="Y62" s="1292"/>
      <c r="Z62" s="476">
        <f t="shared" si="15"/>
        <v>0</v>
      </c>
    </row>
    <row r="63" spans="1:26" ht="15.75">
      <c r="A63" s="797">
        <f>VLOOKUP(B63,'Daten Ernteprodukte'!$B$5:$C$96,2,FALSE)</f>
        <v>0</v>
      </c>
      <c r="B63" s="835" t="s">
        <v>163</v>
      </c>
      <c r="C63" s="835">
        <v>0</v>
      </c>
      <c r="D63" s="840">
        <v>0</v>
      </c>
      <c r="E63" s="838">
        <v>0</v>
      </c>
      <c r="F63" s="841">
        <v>0</v>
      </c>
      <c r="G63" s="842" t="s">
        <v>549</v>
      </c>
      <c r="H63" s="892"/>
      <c r="I63" s="381">
        <f>IF(OR(A63="KlGr",A63="GL"),3.25*C63/100*E63*F63,VLOOKUP(B63,'Daten Ernteprodukte'!$B$51:$N$67,11,FALSE)*E63*F63)</f>
        <v>0</v>
      </c>
      <c r="J63" s="886">
        <f>IF(OR(A63="GL",A63="FG"),D63/6.25,VLOOKUP(Pflanzenbau!B63,'Daten Ernteprodukte'!$B$51:$K$67,8,FALSE))</f>
        <v>0</v>
      </c>
      <c r="K63" s="886">
        <f>IF(OR(A63="GL",A63="FG"),-0.06*(D63/6.25)^2+0.43*(D63/6.25)+0.2,VLOOKUP($B63,'Daten Ernteprodukte'!$B$51:$N$67,9,FALSE))</f>
        <v>0</v>
      </c>
      <c r="L63" s="887">
        <f>IF(OR(A63="GL",A63="FG"),-0.22*(D63/6.25)^2+1.57*(D63/6.25)+0.24,VLOOKUP($B63,'Daten Ernteprodukte'!$B$51:$N$67,10,FALSE))</f>
        <v>0</v>
      </c>
      <c r="M63" s="472"/>
      <c r="N63" s="472"/>
      <c r="O63" s="472"/>
      <c r="P63" s="468">
        <f>IF(AND(G63="Verfütterung Wiederkäuer",VLOOKUP(B63,'Daten Ernteprodukte'!$B$51:$N$67,13,FALSE)="AL"),Pflanzenbau!F63,0)</f>
        <v>0</v>
      </c>
      <c r="Q63" s="471">
        <f>IF(AND(G63="Verfütterung Wiederkäuer",VLOOKUP(B63,'Daten Ernteprodukte'!$B$51:$N$67,13,FALSE)="GL"),Pflanzenbau!F63,0)</f>
        <v>0</v>
      </c>
      <c r="R63" s="472">
        <f t="shared" si="9"/>
        <v>0</v>
      </c>
      <c r="S63" s="473">
        <f t="shared" si="10"/>
        <v>0</v>
      </c>
      <c r="T63" s="534">
        <f t="shared" si="11"/>
        <v>0</v>
      </c>
      <c r="U63" s="475">
        <f t="shared" si="12"/>
        <v>0</v>
      </c>
      <c r="V63" s="1292">
        <f t="shared" si="13"/>
        <v>0</v>
      </c>
      <c r="W63" s="1292"/>
      <c r="X63" s="1292">
        <f t="shared" si="14"/>
        <v>0</v>
      </c>
      <c r="Y63" s="1292"/>
      <c r="Z63" s="476">
        <f t="shared" si="15"/>
        <v>0</v>
      </c>
    </row>
    <row r="64" spans="1:26" ht="15.75">
      <c r="A64" s="797">
        <f>VLOOKUP(B64,'Daten Ernteprodukte'!$B$5:$C$96,2,FALSE)</f>
        <v>0</v>
      </c>
      <c r="B64" s="835" t="s">
        <v>163</v>
      </c>
      <c r="C64" s="835">
        <v>0</v>
      </c>
      <c r="D64" s="840">
        <v>0</v>
      </c>
      <c r="E64" s="838">
        <v>0</v>
      </c>
      <c r="F64" s="841">
        <v>0</v>
      </c>
      <c r="G64" s="842" t="s">
        <v>549</v>
      </c>
      <c r="H64" s="892"/>
      <c r="I64" s="381">
        <f>IF(OR(A64="KlGr",A64="GL"),3.25*C64/100*E64*F64,VLOOKUP(B64,'Daten Ernteprodukte'!$B$51:$N$67,11,FALSE)*E64*F64)</f>
        <v>0</v>
      </c>
      <c r="J64" s="886">
        <f>IF(OR(A64="GL",A64="FG"),D64/6.25,VLOOKUP(Pflanzenbau!B64,'Daten Ernteprodukte'!$B$51:$K$67,8,FALSE))</f>
        <v>0</v>
      </c>
      <c r="K64" s="886">
        <f>IF(OR(A64="GL",A64="FG"),-0.06*(D64/6.25)^2+0.43*(D64/6.25)+0.2,VLOOKUP($B64,'Daten Ernteprodukte'!$B$51:$N$67,9,FALSE))</f>
        <v>0</v>
      </c>
      <c r="L64" s="887">
        <f>IF(OR(A64="GL",A64="FG"),-0.22*(D64/6.25)^2+1.57*(D64/6.25)+0.24,VLOOKUP($B64,'Daten Ernteprodukte'!$B$51:$N$67,10,FALSE))</f>
        <v>0</v>
      </c>
      <c r="M64" s="472"/>
      <c r="N64" s="472"/>
      <c r="O64" s="472"/>
      <c r="P64" s="468">
        <f>IF(AND(G64="Verfütterung Wiederkäuer",VLOOKUP(B64,'Daten Ernteprodukte'!$B$51:$N$67,13,FALSE)="AL"),Pflanzenbau!F64,0)</f>
        <v>0</v>
      </c>
      <c r="Q64" s="471">
        <f>IF(AND(G64="Verfütterung Wiederkäuer",VLOOKUP(B64,'Daten Ernteprodukte'!$B$51:$N$67,13,FALSE)="GL"),Pflanzenbau!F64,0)</f>
        <v>0</v>
      </c>
      <c r="R64" s="472">
        <f t="shared" si="9"/>
        <v>0</v>
      </c>
      <c r="S64" s="473">
        <f t="shared" si="10"/>
        <v>0</v>
      </c>
      <c r="T64" s="534">
        <f t="shared" si="11"/>
        <v>0</v>
      </c>
      <c r="U64" s="475">
        <f t="shared" si="12"/>
        <v>0</v>
      </c>
      <c r="V64" s="1292">
        <f t="shared" si="13"/>
        <v>0</v>
      </c>
      <c r="W64" s="1292"/>
      <c r="X64" s="1292">
        <f t="shared" si="14"/>
        <v>0</v>
      </c>
      <c r="Y64" s="1292"/>
      <c r="Z64" s="476">
        <f t="shared" si="15"/>
        <v>0</v>
      </c>
    </row>
    <row r="65" spans="1:26" ht="15.75">
      <c r="A65" s="797">
        <f>VLOOKUP(B65,'Daten Ernteprodukte'!$B$5:$C$96,2,FALSE)</f>
        <v>0</v>
      </c>
      <c r="B65" s="835" t="s">
        <v>163</v>
      </c>
      <c r="C65" s="835">
        <v>0</v>
      </c>
      <c r="D65" s="840">
        <v>0</v>
      </c>
      <c r="E65" s="838">
        <v>0</v>
      </c>
      <c r="F65" s="841">
        <v>0</v>
      </c>
      <c r="G65" s="842" t="s">
        <v>549</v>
      </c>
      <c r="H65" s="892"/>
      <c r="I65" s="381">
        <f>IF(OR(A65="KlGr",A65="GL"),3.25*C65/100*E65*F65,VLOOKUP(B65,'Daten Ernteprodukte'!$B$51:$N$67,11,FALSE)*E65*F65)</f>
        <v>0</v>
      </c>
      <c r="J65" s="886">
        <f>IF(OR(A65="GL",A65="FG"),D65/6.25,VLOOKUP(Pflanzenbau!B65,'Daten Ernteprodukte'!$B$51:$K$67,8,FALSE))</f>
        <v>0</v>
      </c>
      <c r="K65" s="886">
        <f>IF(OR(A65="GL",A65="FG"),-0.06*(D65/6.25)^2+0.43*(D65/6.25)+0.2,VLOOKUP($B65,'Daten Ernteprodukte'!$B$51:$N$67,9,FALSE))</f>
        <v>0</v>
      </c>
      <c r="L65" s="887">
        <f>IF(OR(A65="GL",A65="FG"),-0.22*(D65/6.25)^2+1.57*(D65/6.25)+0.24,VLOOKUP($B65,'Daten Ernteprodukte'!$B$51:$N$67,10,FALSE))</f>
        <v>0</v>
      </c>
      <c r="M65" s="472"/>
      <c r="N65" s="472"/>
      <c r="O65" s="472"/>
      <c r="P65" s="468">
        <f>IF(AND(G65="Verfütterung Wiederkäuer",VLOOKUP(B65,'Daten Ernteprodukte'!$B$51:$N$67,13,FALSE)="AL"),Pflanzenbau!F65,0)</f>
        <v>0</v>
      </c>
      <c r="Q65" s="471">
        <f>IF(AND(G65="Verfütterung Wiederkäuer",VLOOKUP(B65,'Daten Ernteprodukte'!$B$51:$N$67,13,FALSE)="GL"),Pflanzenbau!F65,0)</f>
        <v>0</v>
      </c>
      <c r="R65" s="472">
        <f t="shared" si="9"/>
        <v>0</v>
      </c>
      <c r="S65" s="473">
        <f t="shared" si="10"/>
        <v>0</v>
      </c>
      <c r="T65" s="534">
        <f t="shared" si="11"/>
        <v>0</v>
      </c>
      <c r="U65" s="475">
        <f t="shared" si="12"/>
        <v>0</v>
      </c>
      <c r="V65" s="1292">
        <f t="shared" si="13"/>
        <v>0</v>
      </c>
      <c r="W65" s="1292"/>
      <c r="X65" s="1292">
        <f t="shared" si="14"/>
        <v>0</v>
      </c>
      <c r="Y65" s="1292"/>
      <c r="Z65" s="476">
        <f t="shared" si="15"/>
        <v>0</v>
      </c>
    </row>
    <row r="66" spans="1:26" s="572" customFormat="1" ht="22.5" customHeight="1">
      <c r="A66" s="802"/>
      <c r="B66" s="302" t="s">
        <v>301</v>
      </c>
      <c r="C66" s="302"/>
      <c r="D66" s="302"/>
      <c r="F66" s="302">
        <f>SUM(F45:F65)-SUMIF(B45:B65,"leer",F45:F65)</f>
        <v>0</v>
      </c>
      <c r="G66" s="302"/>
      <c r="H66" s="302"/>
      <c r="I66" s="429">
        <f>SUM(I45:I65)</f>
        <v>0</v>
      </c>
      <c r="J66" s="780"/>
      <c r="K66" s="776"/>
      <c r="L66" s="781"/>
      <c r="M66" s="273"/>
      <c r="N66" s="273"/>
      <c r="O66" s="273"/>
      <c r="P66" s="429">
        <f>SUM(P45:P65,P10:P30,P35:P41)</f>
        <v>0</v>
      </c>
      <c r="Q66" s="429">
        <f>SUM(Q45:Q65,Q10:Q30,Q35:Q41)</f>
        <v>0</v>
      </c>
      <c r="R66" s="782">
        <f>SUM(R45:R65)</f>
        <v>0</v>
      </c>
      <c r="S66" s="782">
        <f>SUM(S45:S65)</f>
        <v>0</v>
      </c>
      <c r="T66" s="782">
        <f t="shared" ref="T66:U66" si="16">SUM(T45:T65)</f>
        <v>0</v>
      </c>
      <c r="U66" s="783">
        <f t="shared" si="16"/>
        <v>0</v>
      </c>
      <c r="V66" s="1297">
        <f>SUM(V45:W65)</f>
        <v>0</v>
      </c>
      <c r="W66" s="1297"/>
      <c r="X66" s="1297">
        <f>SUM(X45:Y65)</f>
        <v>0</v>
      </c>
      <c r="Y66" s="1297"/>
      <c r="Z66" s="782">
        <f>SUM(Z45:AA65)</f>
        <v>0</v>
      </c>
    </row>
    <row r="67" spans="1:26" s="572" customFormat="1" ht="22.5" customHeight="1">
      <c r="A67" s="802"/>
      <c r="B67" s="302" t="s">
        <v>254</v>
      </c>
      <c r="C67" s="302"/>
      <c r="D67" s="302"/>
      <c r="F67" s="302">
        <f>E31+F66</f>
        <v>0</v>
      </c>
      <c r="G67" s="302"/>
      <c r="H67" s="302"/>
      <c r="I67" s="429">
        <f>I31+I42+I66</f>
        <v>0</v>
      </c>
      <c r="J67" s="780"/>
      <c r="K67" s="776"/>
      <c r="L67" s="781"/>
      <c r="M67" s="273"/>
      <c r="N67" s="273"/>
      <c r="O67" s="273"/>
      <c r="P67" s="429">
        <f>IF(AND(P66=0,Q66=0),0,(P66*0.15+Q66*0.25)/(P66+Q66)*100)</f>
        <v>0</v>
      </c>
      <c r="Q67" s="429"/>
      <c r="R67" s="782">
        <f>SUM(R31,R42,R66)</f>
        <v>0</v>
      </c>
      <c r="S67" s="782">
        <f>S66+S42+S31</f>
        <v>0</v>
      </c>
      <c r="T67" s="782">
        <f>T66+T42+T31</f>
        <v>0</v>
      </c>
      <c r="U67" s="783">
        <f>U66+U42+U31</f>
        <v>0</v>
      </c>
      <c r="V67" s="1297">
        <f>V31+V42+V66</f>
        <v>0</v>
      </c>
      <c r="W67" s="1297"/>
      <c r="X67" s="1297">
        <f>X31+X42+X66</f>
        <v>0</v>
      </c>
      <c r="Y67" s="1297"/>
      <c r="Z67" s="782">
        <f>Z31+Z42+Z66</f>
        <v>0</v>
      </c>
    </row>
    <row r="68" spans="1:26" ht="15.75">
      <c r="A68" s="797"/>
      <c r="B68" s="77"/>
      <c r="C68" s="77"/>
      <c r="D68" s="77"/>
      <c r="E68" s="77"/>
      <c r="F68" s="77"/>
      <c r="G68" s="77"/>
      <c r="H68" s="86"/>
      <c r="I68" s="477"/>
      <c r="J68" s="477"/>
      <c r="K68" s="477"/>
      <c r="L68" s="477"/>
      <c r="M68" s="469"/>
      <c r="N68" s="469"/>
      <c r="O68" s="469"/>
      <c r="P68" s="460"/>
      <c r="Q68" s="460"/>
      <c r="R68" s="460"/>
      <c r="S68" s="460"/>
      <c r="T68" s="460"/>
      <c r="U68" s="460"/>
      <c r="V68" s="460"/>
      <c r="W68" s="460"/>
      <c r="X68" s="460"/>
      <c r="Y68" s="460"/>
      <c r="Z68" s="460"/>
    </row>
    <row r="69" spans="1:26" ht="15.75">
      <c r="A69" s="797"/>
      <c r="B69" s="77"/>
      <c r="C69" s="77"/>
      <c r="D69" s="77"/>
      <c r="E69" s="77"/>
      <c r="F69" s="77"/>
      <c r="G69" s="77"/>
      <c r="H69" s="86"/>
      <c r="I69" s="477"/>
      <c r="J69" s="477"/>
      <c r="K69" s="477"/>
      <c r="L69" s="477"/>
      <c r="M69" s="469"/>
      <c r="N69" s="469"/>
      <c r="O69" s="469"/>
      <c r="P69" s="460"/>
      <c r="Q69" s="460"/>
      <c r="R69" s="460"/>
      <c r="S69" s="460"/>
      <c r="T69" s="460"/>
      <c r="U69" s="460"/>
      <c r="V69" s="460"/>
      <c r="W69" s="460"/>
      <c r="X69" s="460"/>
      <c r="Y69" s="460"/>
      <c r="Z69" s="460"/>
    </row>
    <row r="70" spans="1:26" ht="15.75">
      <c r="A70" s="797"/>
      <c r="B70" s="77"/>
      <c r="C70" s="77"/>
      <c r="D70" s="77"/>
      <c r="E70" s="77"/>
      <c r="F70" s="77"/>
      <c r="G70" s="77"/>
      <c r="H70" s="86"/>
      <c r="I70" s="477"/>
      <c r="J70" s="477"/>
      <c r="K70" s="477"/>
      <c r="L70" s="477"/>
      <c r="M70" s="469"/>
      <c r="N70" s="469"/>
      <c r="O70" s="469"/>
      <c r="P70" s="460"/>
      <c r="Q70" s="460"/>
      <c r="R70" s="460"/>
      <c r="S70" s="460"/>
      <c r="T70" s="460"/>
      <c r="U70" s="460"/>
      <c r="V70" s="460"/>
      <c r="W70" s="460"/>
      <c r="X70" s="460"/>
      <c r="Y70" s="460"/>
      <c r="Z70" s="460"/>
    </row>
    <row r="71" spans="1:26" ht="15.75">
      <c r="A71" s="797"/>
      <c r="B71" s="77"/>
      <c r="C71" s="77"/>
      <c r="D71" s="77"/>
      <c r="E71" s="77"/>
      <c r="F71" s="77"/>
      <c r="G71" s="77"/>
      <c r="H71" s="86"/>
      <c r="I71" s="477"/>
      <c r="J71" s="477"/>
      <c r="K71" s="477"/>
      <c r="L71" s="477"/>
      <c r="M71" s="477"/>
      <c r="N71" s="477"/>
      <c r="O71" s="477"/>
      <c r="P71" s="460"/>
      <c r="Q71" s="460"/>
      <c r="R71" s="460"/>
      <c r="S71" s="460"/>
      <c r="T71" s="460"/>
      <c r="U71" s="460"/>
      <c r="V71" s="460"/>
      <c r="W71" s="460"/>
      <c r="X71" s="460"/>
      <c r="Y71" s="460"/>
      <c r="Z71" s="460"/>
    </row>
    <row r="72" spans="1:26" ht="15.75">
      <c r="A72" s="797"/>
      <c r="B72" s="77"/>
      <c r="C72" s="77"/>
      <c r="D72" s="77"/>
      <c r="E72" s="77"/>
      <c r="F72" s="77"/>
      <c r="G72" s="77"/>
      <c r="H72" s="86"/>
      <c r="I72" s="477"/>
      <c r="J72" s="477"/>
      <c r="K72" s="477"/>
      <c r="L72" s="477"/>
      <c r="M72" s="477"/>
      <c r="N72" s="477"/>
      <c r="O72" s="477"/>
      <c r="P72" s="460"/>
      <c r="Q72" s="460"/>
      <c r="R72" s="460"/>
      <c r="S72" s="460"/>
      <c r="T72" s="460"/>
      <c r="U72" s="460"/>
      <c r="V72" s="460"/>
      <c r="W72" s="460"/>
      <c r="X72" s="460"/>
      <c r="Y72" s="460"/>
      <c r="Z72" s="460"/>
    </row>
    <row r="73" spans="1:26" ht="15.75">
      <c r="A73" s="797"/>
      <c r="B73" s="77"/>
      <c r="C73" s="77"/>
      <c r="D73" s="77"/>
      <c r="E73" s="77"/>
      <c r="F73" s="77"/>
      <c r="G73" s="77"/>
      <c r="H73" s="86"/>
      <c r="I73" s="477"/>
      <c r="J73" s="477"/>
      <c r="K73" s="477"/>
      <c r="L73" s="477"/>
      <c r="M73" s="477"/>
      <c r="N73" s="477"/>
      <c r="O73" s="477"/>
      <c r="P73" s="460"/>
      <c r="Q73" s="460"/>
      <c r="R73" s="460"/>
      <c r="S73" s="460"/>
      <c r="T73" s="460"/>
      <c r="U73" s="460"/>
      <c r="V73" s="460"/>
      <c r="W73" s="460"/>
      <c r="X73" s="460"/>
      <c r="Y73" s="460"/>
      <c r="Z73" s="460"/>
    </row>
    <row r="74" spans="1:26" ht="15.75">
      <c r="A74" s="797"/>
      <c r="B74" s="77"/>
      <c r="C74" s="77"/>
      <c r="D74" s="77"/>
      <c r="E74" s="77"/>
      <c r="F74" s="77"/>
      <c r="G74" s="77"/>
      <c r="H74" s="86"/>
      <c r="I74" s="477"/>
      <c r="J74" s="477"/>
      <c r="K74" s="477"/>
      <c r="L74" s="477"/>
      <c r="M74" s="477"/>
      <c r="N74" s="477"/>
      <c r="O74" s="477"/>
      <c r="P74" s="460"/>
      <c r="Q74" s="460"/>
      <c r="R74" s="460"/>
      <c r="S74" s="460"/>
      <c r="T74" s="460"/>
      <c r="U74" s="460"/>
      <c r="V74" s="460"/>
      <c r="W74" s="460"/>
      <c r="X74" s="460"/>
      <c r="Y74" s="460"/>
      <c r="Z74" s="460"/>
    </row>
    <row r="75" spans="1:26" ht="15.75">
      <c r="A75" s="797"/>
      <c r="B75" s="77"/>
      <c r="C75" s="77"/>
      <c r="D75" s="77"/>
      <c r="E75" s="77"/>
      <c r="F75" s="77"/>
      <c r="G75" s="77"/>
      <c r="H75" s="86"/>
      <c r="I75" s="477"/>
      <c r="J75" s="477"/>
      <c r="K75" s="477"/>
      <c r="L75" s="477"/>
      <c r="M75" s="477"/>
      <c r="N75" s="477"/>
      <c r="O75" s="477"/>
      <c r="P75" s="460"/>
      <c r="Q75" s="460"/>
      <c r="R75" s="460"/>
      <c r="S75" s="460"/>
      <c r="T75" s="460"/>
      <c r="U75" s="460"/>
      <c r="V75" s="460"/>
      <c r="W75" s="460"/>
      <c r="X75" s="460"/>
      <c r="Y75" s="460"/>
      <c r="Z75" s="460"/>
    </row>
    <row r="76" spans="1:26" ht="15.75">
      <c r="A76" s="797"/>
      <c r="B76" s="77"/>
      <c r="C76" s="77"/>
      <c r="D76" s="77"/>
      <c r="E76" s="77"/>
      <c r="F76" s="77"/>
      <c r="G76" s="77"/>
      <c r="H76" s="86"/>
      <c r="I76" s="477"/>
      <c r="J76" s="477"/>
      <c r="K76" s="477"/>
      <c r="L76" s="477"/>
      <c r="M76" s="477"/>
      <c r="N76" s="477"/>
      <c r="O76" s="477"/>
      <c r="P76" s="460"/>
      <c r="Q76" s="460"/>
      <c r="R76" s="460"/>
      <c r="S76" s="460"/>
      <c r="T76" s="460"/>
      <c r="U76" s="460"/>
      <c r="V76" s="460"/>
      <c r="W76" s="460"/>
      <c r="X76" s="460"/>
      <c r="Y76" s="460"/>
      <c r="Z76" s="460"/>
    </row>
    <row r="77" spans="1:26" ht="15.75">
      <c r="A77" s="797"/>
      <c r="B77" s="77"/>
      <c r="C77" s="77"/>
      <c r="D77" s="77"/>
      <c r="E77" s="77"/>
      <c r="F77" s="77"/>
      <c r="G77" s="77"/>
      <c r="H77" s="86"/>
      <c r="I77" s="477"/>
      <c r="J77" s="477"/>
      <c r="K77" s="477"/>
      <c r="L77" s="477"/>
      <c r="M77" s="477"/>
      <c r="N77" s="477"/>
      <c r="O77" s="477"/>
      <c r="P77" s="460"/>
      <c r="Q77" s="460"/>
      <c r="R77" s="460"/>
      <c r="S77" s="460"/>
      <c r="T77" s="460"/>
      <c r="U77" s="460"/>
      <c r="V77" s="460"/>
      <c r="W77" s="460"/>
      <c r="X77" s="460"/>
      <c r="Y77" s="460"/>
      <c r="Z77" s="460"/>
    </row>
    <row r="78" spans="1:26" ht="15.75">
      <c r="A78" s="797"/>
      <c r="B78" s="77"/>
      <c r="C78" s="77"/>
      <c r="D78" s="77"/>
      <c r="E78" s="77"/>
      <c r="F78" s="77"/>
      <c r="G78" s="77"/>
      <c r="H78" s="86"/>
      <c r="I78" s="477"/>
      <c r="J78" s="477"/>
      <c r="K78" s="477"/>
      <c r="L78" s="477"/>
      <c r="M78" s="477"/>
      <c r="N78" s="477"/>
      <c r="O78" s="477"/>
      <c r="P78" s="460"/>
      <c r="Q78" s="460"/>
      <c r="R78" s="460"/>
      <c r="S78" s="460"/>
      <c r="T78" s="460"/>
      <c r="U78" s="460"/>
      <c r="V78" s="460"/>
      <c r="W78" s="460"/>
      <c r="X78" s="460"/>
      <c r="Y78" s="460"/>
      <c r="Z78" s="460"/>
    </row>
    <row r="79" spans="1:26" ht="15.75">
      <c r="A79" s="797"/>
      <c r="B79" s="77"/>
      <c r="C79" s="77"/>
      <c r="D79" s="77"/>
      <c r="E79" s="77"/>
      <c r="F79" s="77"/>
      <c r="G79" s="77"/>
      <c r="H79" s="86"/>
      <c r="I79" s="477"/>
      <c r="J79" s="477"/>
      <c r="K79" s="477"/>
      <c r="L79" s="477"/>
      <c r="M79" s="477"/>
      <c r="N79" s="477"/>
      <c r="O79" s="477"/>
      <c r="P79" s="460"/>
      <c r="Q79" s="460"/>
      <c r="R79" s="460"/>
      <c r="S79" s="460"/>
      <c r="T79" s="460"/>
      <c r="U79" s="460"/>
      <c r="V79" s="460"/>
      <c r="W79" s="460"/>
      <c r="X79" s="460"/>
      <c r="Y79" s="460"/>
      <c r="Z79" s="460"/>
    </row>
    <row r="80" spans="1:26" ht="15.75">
      <c r="A80" s="797"/>
      <c r="B80" s="77"/>
      <c r="C80" s="77"/>
      <c r="D80" s="77"/>
      <c r="E80" s="77"/>
      <c r="F80" s="77"/>
      <c r="G80" s="77"/>
      <c r="H80" s="86"/>
      <c r="I80" s="477"/>
      <c r="J80" s="477"/>
      <c r="K80" s="477"/>
      <c r="L80" s="477"/>
      <c r="M80" s="477"/>
      <c r="N80" s="477"/>
      <c r="O80" s="477"/>
      <c r="P80" s="460"/>
      <c r="Q80" s="460"/>
      <c r="R80" s="460"/>
      <c r="S80" s="460"/>
      <c r="T80" s="460"/>
      <c r="U80" s="460"/>
      <c r="V80" s="460"/>
      <c r="W80" s="460"/>
      <c r="X80" s="460"/>
      <c r="Y80" s="460"/>
      <c r="Z80" s="460"/>
    </row>
    <row r="81" spans="1:26" ht="15.75">
      <c r="A81" s="797"/>
      <c r="B81" s="77"/>
      <c r="C81" s="77"/>
      <c r="D81" s="77"/>
      <c r="E81" s="77"/>
      <c r="F81" s="77"/>
      <c r="G81" s="77"/>
      <c r="H81" s="86"/>
      <c r="I81" s="477"/>
      <c r="J81" s="477"/>
      <c r="K81" s="477"/>
      <c r="L81" s="477"/>
      <c r="M81" s="477"/>
      <c r="N81" s="477"/>
      <c r="O81" s="477"/>
      <c r="P81" s="460"/>
      <c r="Q81" s="460"/>
      <c r="R81" s="460"/>
      <c r="S81" s="460"/>
      <c r="T81" s="460"/>
      <c r="U81" s="460"/>
      <c r="V81" s="460"/>
      <c r="W81" s="460"/>
      <c r="X81" s="460"/>
      <c r="Y81" s="460"/>
      <c r="Z81" s="460"/>
    </row>
    <row r="82" spans="1:26" ht="15.75">
      <c r="A82" s="797"/>
      <c r="B82" s="77"/>
      <c r="C82" s="77"/>
      <c r="D82" s="77"/>
      <c r="E82" s="77"/>
      <c r="F82" s="77"/>
      <c r="G82" s="77"/>
      <c r="H82" s="86"/>
      <c r="I82" s="477"/>
      <c r="J82" s="477"/>
      <c r="K82" s="477"/>
      <c r="L82" s="477"/>
      <c r="M82" s="477"/>
      <c r="N82" s="477"/>
      <c r="O82" s="477"/>
      <c r="P82" s="460"/>
      <c r="Q82" s="460"/>
      <c r="R82" s="460"/>
      <c r="S82" s="460"/>
      <c r="T82" s="460"/>
      <c r="U82" s="460"/>
      <c r="V82" s="460"/>
      <c r="W82" s="460"/>
      <c r="X82" s="460"/>
      <c r="Y82" s="460"/>
      <c r="Z82" s="460"/>
    </row>
    <row r="83" spans="1:26" ht="15.75">
      <c r="A83" s="797"/>
      <c r="B83" s="77"/>
      <c r="C83" s="77"/>
      <c r="D83" s="77"/>
      <c r="E83" s="77"/>
      <c r="F83" s="77"/>
      <c r="G83" s="77"/>
      <c r="H83" s="86"/>
      <c r="I83" s="477"/>
      <c r="J83" s="477"/>
      <c r="K83" s="477"/>
      <c r="L83" s="477"/>
      <c r="M83" s="477"/>
      <c r="N83" s="477"/>
      <c r="O83" s="477"/>
      <c r="P83" s="460"/>
      <c r="Q83" s="460"/>
      <c r="R83" s="460"/>
      <c r="S83" s="460"/>
      <c r="T83" s="460"/>
      <c r="U83" s="460"/>
      <c r="V83" s="460"/>
      <c r="W83" s="460"/>
      <c r="X83" s="460"/>
      <c r="Y83" s="460"/>
      <c r="Z83" s="460"/>
    </row>
    <row r="84" spans="1:26" ht="15.75">
      <c r="A84" s="797"/>
      <c r="B84" s="77"/>
      <c r="C84" s="77"/>
      <c r="D84" s="77"/>
      <c r="E84" s="77"/>
      <c r="F84" s="77"/>
      <c r="G84" s="77"/>
      <c r="H84" s="86"/>
      <c r="I84" s="477"/>
      <c r="J84" s="477"/>
      <c r="K84" s="477"/>
      <c r="L84" s="477"/>
      <c r="M84" s="477"/>
      <c r="N84" s="477"/>
      <c r="O84" s="477"/>
      <c r="P84" s="460"/>
      <c r="Q84" s="460"/>
      <c r="R84" s="460"/>
      <c r="S84" s="460"/>
      <c r="T84" s="460"/>
      <c r="U84" s="460"/>
      <c r="V84" s="460"/>
      <c r="W84" s="460"/>
      <c r="X84" s="460"/>
      <c r="Y84" s="460"/>
      <c r="Z84" s="460"/>
    </row>
    <row r="85" spans="1:26" ht="15.75">
      <c r="A85" s="797"/>
      <c r="B85" s="77"/>
      <c r="C85" s="77"/>
      <c r="D85" s="77"/>
      <c r="E85" s="77"/>
      <c r="F85" s="77"/>
      <c r="G85" s="77"/>
      <c r="H85" s="86"/>
      <c r="I85" s="477"/>
      <c r="J85" s="477"/>
      <c r="K85" s="477"/>
      <c r="L85" s="477"/>
      <c r="M85" s="477"/>
      <c r="N85" s="477"/>
      <c r="O85" s="477"/>
      <c r="P85" s="460"/>
      <c r="Q85" s="460"/>
      <c r="R85" s="460"/>
      <c r="S85" s="460"/>
      <c r="T85" s="460"/>
      <c r="U85" s="460"/>
      <c r="V85" s="460"/>
      <c r="W85" s="460"/>
      <c r="X85" s="460"/>
      <c r="Y85" s="460"/>
      <c r="Z85" s="460"/>
    </row>
    <row r="86" spans="1:26" ht="15.75">
      <c r="A86" s="797"/>
      <c r="B86" s="77"/>
      <c r="C86" s="77"/>
      <c r="D86" s="77"/>
      <c r="E86" s="77"/>
      <c r="F86" s="77"/>
      <c r="G86" s="77"/>
      <c r="H86" s="86"/>
      <c r="I86" s="477"/>
      <c r="J86" s="477"/>
      <c r="K86" s="477"/>
      <c r="L86" s="477"/>
      <c r="M86" s="477"/>
      <c r="N86" s="477"/>
      <c r="O86" s="477"/>
      <c r="P86" s="460"/>
      <c r="Q86" s="460"/>
      <c r="R86" s="460"/>
      <c r="S86" s="460"/>
      <c r="T86" s="460"/>
      <c r="U86" s="460"/>
      <c r="V86" s="460"/>
      <c r="W86" s="460"/>
      <c r="X86" s="460"/>
      <c r="Y86" s="460"/>
      <c r="Z86" s="460"/>
    </row>
    <row r="87" spans="1:26" ht="15.75">
      <c r="A87" s="797"/>
      <c r="B87" s="77"/>
      <c r="C87" s="77"/>
      <c r="D87" s="77"/>
      <c r="E87" s="77"/>
      <c r="F87" s="77"/>
      <c r="G87" s="77"/>
      <c r="H87" s="86"/>
      <c r="I87" s="477"/>
      <c r="J87" s="477"/>
      <c r="K87" s="477"/>
      <c r="L87" s="477"/>
      <c r="M87" s="477"/>
      <c r="N87" s="477"/>
      <c r="O87" s="477"/>
      <c r="P87" s="460"/>
      <c r="Q87" s="460"/>
      <c r="R87" s="460"/>
      <c r="S87" s="460"/>
      <c r="T87" s="460"/>
      <c r="U87" s="460"/>
      <c r="V87" s="460"/>
      <c r="W87" s="460"/>
      <c r="X87" s="460"/>
      <c r="Y87" s="460"/>
      <c r="Z87" s="460"/>
    </row>
    <row r="88" spans="1:26" ht="15.75">
      <c r="A88" s="797"/>
      <c r="B88" s="77"/>
      <c r="C88" s="77"/>
      <c r="D88" s="77"/>
      <c r="E88" s="77"/>
      <c r="F88" s="77"/>
      <c r="G88" s="77"/>
      <c r="H88" s="86"/>
      <c r="I88" s="477"/>
      <c r="J88" s="477"/>
      <c r="K88" s="477"/>
      <c r="L88" s="477"/>
      <c r="M88" s="477"/>
      <c r="N88" s="477"/>
      <c r="O88" s="477"/>
      <c r="P88" s="460"/>
      <c r="Q88" s="460"/>
      <c r="R88" s="460"/>
      <c r="S88" s="460"/>
      <c r="T88" s="460"/>
      <c r="U88" s="460"/>
      <c r="V88" s="460"/>
      <c r="W88" s="460"/>
      <c r="X88" s="460"/>
      <c r="Y88" s="460"/>
      <c r="Z88" s="460"/>
    </row>
    <row r="89" spans="1:26" ht="15.75">
      <c r="A89" s="797"/>
      <c r="B89" s="77"/>
      <c r="C89" s="77"/>
      <c r="D89" s="77"/>
      <c r="E89" s="77"/>
      <c r="F89" s="77"/>
      <c r="G89" s="77"/>
      <c r="H89" s="86"/>
      <c r="I89" s="477"/>
      <c r="J89" s="477"/>
      <c r="K89" s="477"/>
      <c r="L89" s="477"/>
      <c r="M89" s="477"/>
      <c r="N89" s="477"/>
      <c r="O89" s="477"/>
      <c r="P89" s="460"/>
      <c r="Q89" s="460"/>
      <c r="R89" s="460"/>
      <c r="S89" s="460"/>
      <c r="T89" s="460"/>
      <c r="U89" s="460"/>
      <c r="V89" s="460"/>
      <c r="W89" s="460"/>
      <c r="X89" s="460"/>
      <c r="Y89" s="460"/>
      <c r="Z89" s="460"/>
    </row>
    <row r="90" spans="1:26" ht="15.75">
      <c r="A90" s="797"/>
      <c r="B90" s="77"/>
      <c r="C90" s="77"/>
      <c r="D90" s="77"/>
      <c r="E90" s="77"/>
      <c r="F90" s="77"/>
      <c r="G90" s="77"/>
      <c r="H90" s="86"/>
      <c r="I90" s="477"/>
      <c r="J90" s="477"/>
      <c r="K90" s="477"/>
      <c r="L90" s="477"/>
      <c r="M90" s="477"/>
      <c r="N90" s="477"/>
      <c r="O90" s="477"/>
      <c r="P90" s="460"/>
      <c r="Q90" s="460"/>
      <c r="R90" s="460"/>
      <c r="S90" s="460"/>
      <c r="T90" s="460"/>
      <c r="U90" s="460"/>
      <c r="V90" s="460"/>
      <c r="W90" s="460"/>
      <c r="X90" s="460"/>
      <c r="Y90" s="460"/>
      <c r="Z90" s="460"/>
    </row>
    <row r="91" spans="1:26" ht="15.75">
      <c r="A91" s="797"/>
      <c r="B91" s="77"/>
      <c r="C91" s="77"/>
      <c r="D91" s="77"/>
      <c r="E91" s="77"/>
      <c r="F91" s="77"/>
      <c r="G91" s="77"/>
      <c r="H91" s="86"/>
      <c r="I91" s="477"/>
      <c r="J91" s="477"/>
      <c r="K91" s="477"/>
      <c r="L91" s="477"/>
      <c r="M91" s="477"/>
      <c r="N91" s="477"/>
      <c r="O91" s="477"/>
      <c r="P91" s="460"/>
      <c r="Q91" s="460"/>
      <c r="R91" s="460"/>
      <c r="S91" s="460"/>
      <c r="T91" s="460"/>
      <c r="U91" s="460"/>
      <c r="V91" s="460"/>
      <c r="W91" s="460"/>
      <c r="X91" s="460"/>
      <c r="Y91" s="460"/>
      <c r="Z91" s="460"/>
    </row>
    <row r="92" spans="1:26" ht="15.75">
      <c r="A92" s="797"/>
      <c r="B92" s="77"/>
      <c r="C92" s="77"/>
      <c r="D92" s="77"/>
      <c r="E92" s="77"/>
      <c r="F92" s="77"/>
      <c r="G92" s="77"/>
      <c r="H92" s="86"/>
      <c r="I92" s="477"/>
      <c r="J92" s="477"/>
      <c r="K92" s="477"/>
      <c r="L92" s="477"/>
      <c r="M92" s="477"/>
      <c r="N92" s="477"/>
      <c r="O92" s="477"/>
      <c r="P92" s="460"/>
      <c r="Q92" s="460"/>
      <c r="R92" s="460"/>
      <c r="S92" s="460"/>
      <c r="T92" s="460"/>
      <c r="U92" s="460"/>
      <c r="V92" s="460"/>
      <c r="W92" s="460"/>
      <c r="X92" s="460"/>
      <c r="Y92" s="460"/>
      <c r="Z92" s="460"/>
    </row>
    <row r="93" spans="1:26" ht="15.75">
      <c r="A93" s="797"/>
      <c r="B93" s="77"/>
      <c r="C93" s="77"/>
      <c r="D93" s="77"/>
      <c r="E93" s="77"/>
      <c r="F93" s="77"/>
      <c r="G93" s="77"/>
      <c r="H93" s="86"/>
      <c r="I93" s="477"/>
      <c r="J93" s="477"/>
      <c r="K93" s="477"/>
      <c r="L93" s="477"/>
      <c r="M93" s="477"/>
      <c r="N93" s="477"/>
      <c r="O93" s="477"/>
      <c r="P93" s="460"/>
      <c r="Q93" s="460"/>
      <c r="R93" s="460"/>
      <c r="S93" s="460"/>
      <c r="T93" s="460"/>
      <c r="U93" s="460"/>
      <c r="V93" s="460"/>
      <c r="W93" s="460"/>
      <c r="X93" s="460"/>
      <c r="Y93" s="460"/>
      <c r="Z93" s="460"/>
    </row>
    <row r="94" spans="1:26" ht="15.75">
      <c r="A94" s="797"/>
      <c r="B94" s="77"/>
      <c r="C94" s="77"/>
      <c r="D94" s="77"/>
      <c r="E94" s="77"/>
      <c r="F94" s="77"/>
      <c r="G94" s="77"/>
      <c r="H94" s="86"/>
      <c r="I94" s="477"/>
      <c r="J94" s="477"/>
      <c r="K94" s="477"/>
      <c r="L94" s="477"/>
      <c r="M94" s="477"/>
      <c r="N94" s="477"/>
      <c r="O94" s="477"/>
      <c r="P94" s="460"/>
      <c r="Q94" s="460"/>
      <c r="R94" s="460"/>
      <c r="S94" s="460"/>
      <c r="T94" s="460"/>
      <c r="U94" s="460"/>
      <c r="V94" s="460"/>
      <c r="W94" s="460"/>
      <c r="X94" s="460"/>
      <c r="Y94" s="460"/>
      <c r="Z94" s="460"/>
    </row>
    <row r="95" spans="1:26" ht="15.75">
      <c r="A95" s="797"/>
      <c r="B95" s="77"/>
      <c r="C95" s="77"/>
      <c r="D95" s="77"/>
      <c r="E95" s="77"/>
      <c r="F95" s="77"/>
      <c r="G95" s="77"/>
      <c r="H95" s="86"/>
      <c r="I95" s="477"/>
      <c r="J95" s="477"/>
      <c r="K95" s="477"/>
      <c r="L95" s="477"/>
      <c r="M95" s="477"/>
      <c r="N95" s="477"/>
      <c r="O95" s="477"/>
      <c r="P95" s="460"/>
      <c r="Q95" s="460"/>
      <c r="R95" s="460"/>
      <c r="S95" s="460"/>
      <c r="T95" s="460"/>
      <c r="U95" s="460"/>
      <c r="V95" s="460"/>
      <c r="W95" s="460"/>
      <c r="X95" s="460"/>
      <c r="Y95" s="460"/>
      <c r="Z95" s="460"/>
    </row>
    <row r="96" spans="1:26" ht="15.75">
      <c r="A96" s="797"/>
      <c r="B96" s="77"/>
      <c r="C96" s="77"/>
      <c r="D96" s="77"/>
      <c r="E96" s="77"/>
      <c r="F96" s="77"/>
      <c r="G96" s="77"/>
      <c r="H96" s="86"/>
      <c r="I96" s="477"/>
      <c r="J96" s="477"/>
      <c r="K96" s="477"/>
      <c r="L96" s="477"/>
      <c r="M96" s="477"/>
      <c r="N96" s="477"/>
      <c r="O96" s="477"/>
      <c r="P96" s="460"/>
      <c r="Q96" s="460"/>
      <c r="R96" s="460"/>
      <c r="S96" s="460"/>
      <c r="T96" s="460"/>
      <c r="U96" s="460"/>
      <c r="V96" s="460"/>
      <c r="W96" s="460"/>
      <c r="X96" s="460"/>
      <c r="Y96" s="460"/>
      <c r="Z96" s="460"/>
    </row>
    <row r="97" spans="1:26" ht="15.75">
      <c r="A97" s="797"/>
      <c r="B97" s="77"/>
      <c r="C97" s="77"/>
      <c r="D97" s="77"/>
      <c r="E97" s="77"/>
      <c r="F97" s="77"/>
      <c r="G97" s="77"/>
      <c r="H97" s="86"/>
      <c r="I97" s="477"/>
      <c r="J97" s="477"/>
      <c r="K97" s="477"/>
      <c r="L97" s="477"/>
      <c r="M97" s="477"/>
      <c r="N97" s="477"/>
      <c r="O97" s="477"/>
      <c r="P97" s="460"/>
      <c r="Q97" s="460"/>
      <c r="R97" s="460"/>
      <c r="S97" s="460"/>
      <c r="T97" s="460"/>
      <c r="U97" s="460"/>
      <c r="V97" s="460"/>
      <c r="W97" s="460"/>
      <c r="X97" s="460"/>
      <c r="Y97" s="460"/>
      <c r="Z97" s="460"/>
    </row>
    <row r="98" spans="1:26" ht="15.75">
      <c r="A98" s="797"/>
      <c r="B98" s="77"/>
      <c r="C98" s="77"/>
      <c r="D98" s="77"/>
      <c r="E98" s="77"/>
      <c r="F98" s="77"/>
      <c r="G98" s="77"/>
      <c r="H98" s="86"/>
      <c r="I98" s="477"/>
      <c r="J98" s="477"/>
      <c r="K98" s="477"/>
      <c r="L98" s="477"/>
      <c r="M98" s="477"/>
      <c r="N98" s="477"/>
      <c r="O98" s="477"/>
      <c r="P98" s="460"/>
      <c r="Q98" s="460"/>
      <c r="R98" s="460"/>
      <c r="S98" s="460"/>
      <c r="T98" s="460"/>
      <c r="U98" s="460"/>
      <c r="V98" s="460"/>
      <c r="W98" s="460"/>
      <c r="X98" s="460"/>
      <c r="Y98" s="460"/>
      <c r="Z98" s="460"/>
    </row>
    <row r="99" spans="1:26" ht="15.75">
      <c r="A99" s="797"/>
      <c r="B99" s="77"/>
      <c r="C99" s="77"/>
      <c r="D99" s="77"/>
      <c r="E99" s="77"/>
      <c r="F99" s="77"/>
      <c r="G99" s="77"/>
      <c r="H99" s="86"/>
      <c r="I99" s="477"/>
      <c r="J99" s="477"/>
      <c r="K99" s="477"/>
      <c r="L99" s="477"/>
      <c r="M99" s="477"/>
      <c r="N99" s="477"/>
      <c r="O99" s="477"/>
      <c r="P99" s="460"/>
      <c r="Q99" s="460"/>
      <c r="R99" s="460"/>
      <c r="S99" s="460"/>
      <c r="T99" s="460"/>
      <c r="U99" s="460"/>
      <c r="V99" s="460"/>
      <c r="W99" s="460"/>
      <c r="X99" s="460"/>
      <c r="Y99" s="460"/>
      <c r="Z99" s="460"/>
    </row>
    <row r="100" spans="1:26" ht="15.75">
      <c r="A100" s="797"/>
      <c r="B100" s="77"/>
      <c r="C100" s="77"/>
      <c r="D100" s="77"/>
      <c r="E100" s="77"/>
      <c r="F100" s="77"/>
      <c r="G100" s="77"/>
      <c r="H100" s="86"/>
      <c r="I100" s="477"/>
      <c r="J100" s="477"/>
      <c r="K100" s="477"/>
      <c r="L100" s="477"/>
      <c r="M100" s="477"/>
      <c r="N100" s="477"/>
      <c r="O100" s="477"/>
      <c r="P100" s="460"/>
      <c r="Q100" s="460"/>
      <c r="R100" s="460"/>
      <c r="S100" s="460"/>
      <c r="T100" s="460"/>
      <c r="U100" s="460"/>
      <c r="V100" s="460"/>
      <c r="W100" s="460"/>
      <c r="X100" s="460"/>
      <c r="Y100" s="460"/>
      <c r="Z100" s="460"/>
    </row>
    <row r="101" spans="1:26" ht="15.75">
      <c r="A101" s="797"/>
      <c r="B101" s="77"/>
      <c r="C101" s="77"/>
      <c r="D101" s="77"/>
      <c r="E101" s="77"/>
      <c r="F101" s="77"/>
      <c r="G101" s="77"/>
      <c r="H101" s="86"/>
      <c r="I101" s="477"/>
      <c r="J101" s="477"/>
      <c r="K101" s="477"/>
      <c r="L101" s="477"/>
      <c r="M101" s="477"/>
      <c r="N101" s="477"/>
      <c r="O101" s="477"/>
      <c r="P101" s="460"/>
      <c r="Q101" s="460"/>
      <c r="R101" s="460"/>
      <c r="S101" s="460"/>
      <c r="T101" s="460"/>
      <c r="U101" s="460"/>
      <c r="V101" s="460"/>
      <c r="W101" s="460"/>
      <c r="X101" s="460"/>
      <c r="Y101" s="460"/>
      <c r="Z101" s="460"/>
    </row>
    <row r="102" spans="1:26" ht="15.75">
      <c r="A102" s="797"/>
      <c r="B102" s="77"/>
      <c r="C102" s="77"/>
      <c r="D102" s="77"/>
      <c r="E102" s="77"/>
      <c r="F102" s="77"/>
      <c r="G102" s="77"/>
      <c r="H102" s="86"/>
      <c r="I102" s="477"/>
      <c r="J102" s="477"/>
      <c r="K102" s="477"/>
      <c r="L102" s="477"/>
      <c r="M102" s="477"/>
      <c r="N102" s="477"/>
      <c r="O102" s="477"/>
      <c r="P102" s="460"/>
      <c r="Q102" s="460"/>
      <c r="R102" s="460"/>
      <c r="S102" s="460"/>
      <c r="T102" s="460"/>
      <c r="U102" s="460"/>
      <c r="V102" s="460"/>
      <c r="W102" s="460"/>
      <c r="X102" s="460"/>
      <c r="Y102" s="460"/>
      <c r="Z102" s="460"/>
    </row>
    <row r="103" spans="1:26" ht="15.75">
      <c r="A103" s="797"/>
      <c r="B103" s="77"/>
      <c r="C103" s="77"/>
      <c r="D103" s="77"/>
      <c r="E103" s="77"/>
      <c r="F103" s="77"/>
      <c r="G103" s="77"/>
      <c r="H103" s="86"/>
      <c r="I103" s="477"/>
      <c r="J103" s="477"/>
      <c r="K103" s="477"/>
      <c r="L103" s="477"/>
      <c r="M103" s="477"/>
      <c r="N103" s="477"/>
      <c r="O103" s="477"/>
      <c r="P103" s="460"/>
      <c r="Q103" s="460"/>
      <c r="R103" s="460"/>
      <c r="S103" s="460"/>
      <c r="T103" s="460"/>
      <c r="U103" s="460"/>
      <c r="V103" s="460"/>
      <c r="W103" s="460"/>
      <c r="X103" s="460"/>
      <c r="Y103" s="460"/>
      <c r="Z103" s="460"/>
    </row>
    <row r="104" spans="1:26" ht="15.75">
      <c r="A104" s="797"/>
      <c r="B104" s="77"/>
      <c r="C104" s="77"/>
      <c r="D104" s="77"/>
      <c r="E104" s="77"/>
      <c r="F104" s="77"/>
      <c r="G104" s="77"/>
      <c r="H104" s="86"/>
      <c r="I104" s="477"/>
      <c r="J104" s="477"/>
      <c r="K104" s="477"/>
      <c r="L104" s="477"/>
      <c r="M104" s="477"/>
      <c r="N104" s="477"/>
      <c r="O104" s="477"/>
      <c r="P104" s="460"/>
      <c r="Q104" s="460"/>
      <c r="R104" s="460"/>
      <c r="S104" s="460"/>
      <c r="T104" s="460"/>
      <c r="U104" s="460"/>
      <c r="V104" s="460"/>
      <c r="W104" s="460"/>
      <c r="X104" s="460"/>
      <c r="Y104" s="460"/>
      <c r="Z104" s="460"/>
    </row>
    <row r="105" spans="1:26" ht="15.75">
      <c r="A105" s="797"/>
      <c r="B105" s="77"/>
      <c r="C105" s="77"/>
      <c r="D105" s="77"/>
      <c r="E105" s="77"/>
      <c r="F105" s="77"/>
      <c r="G105" s="77"/>
      <c r="H105" s="86"/>
      <c r="I105" s="477"/>
      <c r="J105" s="477"/>
      <c r="K105" s="477"/>
      <c r="L105" s="477"/>
      <c r="M105" s="477"/>
      <c r="N105" s="477"/>
      <c r="O105" s="477"/>
      <c r="P105" s="460"/>
      <c r="Q105" s="460"/>
      <c r="R105" s="460"/>
      <c r="S105" s="460"/>
      <c r="T105" s="460"/>
      <c r="U105" s="460"/>
      <c r="V105" s="460"/>
      <c r="W105" s="460"/>
      <c r="X105" s="460"/>
      <c r="Y105" s="460"/>
      <c r="Z105" s="460"/>
    </row>
    <row r="106" spans="1:26" ht="15.75">
      <c r="A106" s="797"/>
      <c r="B106" s="77"/>
      <c r="C106" s="77"/>
      <c r="D106" s="77"/>
      <c r="E106" s="77"/>
      <c r="F106" s="77"/>
      <c r="G106" s="77"/>
      <c r="H106" s="86"/>
      <c r="I106" s="477"/>
      <c r="J106" s="477"/>
      <c r="K106" s="477"/>
      <c r="L106" s="477"/>
      <c r="M106" s="477"/>
      <c r="N106" s="477"/>
      <c r="O106" s="477"/>
      <c r="P106" s="460"/>
      <c r="Q106" s="460"/>
      <c r="R106" s="460"/>
      <c r="S106" s="460"/>
      <c r="T106" s="460"/>
      <c r="U106" s="460"/>
      <c r="V106" s="460"/>
      <c r="W106" s="460"/>
      <c r="X106" s="460"/>
      <c r="Y106" s="460"/>
      <c r="Z106" s="460"/>
    </row>
    <row r="107" spans="1:26" ht="15.75">
      <c r="A107" s="797"/>
      <c r="B107" s="77"/>
      <c r="C107" s="77"/>
      <c r="D107" s="77"/>
      <c r="E107" s="77"/>
      <c r="F107" s="77"/>
      <c r="G107" s="77"/>
      <c r="H107" s="86"/>
      <c r="I107" s="477"/>
      <c r="J107" s="477"/>
      <c r="K107" s="477"/>
      <c r="L107" s="477"/>
      <c r="M107" s="477"/>
      <c r="N107" s="477"/>
      <c r="O107" s="477"/>
      <c r="P107" s="460"/>
      <c r="Q107" s="460"/>
      <c r="R107" s="460"/>
      <c r="S107" s="460"/>
      <c r="T107" s="460"/>
      <c r="U107" s="460"/>
      <c r="V107" s="460"/>
      <c r="W107" s="460"/>
      <c r="X107" s="460"/>
      <c r="Y107" s="460"/>
      <c r="Z107" s="460"/>
    </row>
    <row r="108" spans="1:26" ht="15.75">
      <c r="A108" s="797"/>
      <c r="B108" s="77"/>
      <c r="C108" s="77"/>
      <c r="D108" s="77"/>
      <c r="E108" s="77"/>
      <c r="F108" s="77"/>
      <c r="G108" s="77"/>
      <c r="H108" s="86"/>
      <c r="I108" s="477"/>
      <c r="J108" s="477"/>
      <c r="K108" s="477"/>
      <c r="L108" s="477"/>
      <c r="M108" s="477"/>
      <c r="N108" s="477"/>
      <c r="O108" s="477"/>
      <c r="P108" s="460"/>
      <c r="Q108" s="460"/>
      <c r="R108" s="460"/>
      <c r="S108" s="460"/>
      <c r="T108" s="460"/>
      <c r="U108" s="460"/>
      <c r="V108" s="460"/>
      <c r="W108" s="460"/>
      <c r="X108" s="460"/>
      <c r="Y108" s="460"/>
      <c r="Z108" s="460"/>
    </row>
    <row r="109" spans="1:26" ht="15.75">
      <c r="A109" s="797"/>
      <c r="B109" s="77"/>
      <c r="C109" s="77"/>
      <c r="D109" s="77"/>
      <c r="E109" s="77"/>
      <c r="F109" s="77"/>
      <c r="G109" s="77"/>
      <c r="H109" s="86"/>
      <c r="I109" s="477"/>
      <c r="J109" s="477"/>
      <c r="K109" s="477"/>
      <c r="L109" s="477"/>
      <c r="M109" s="477"/>
      <c r="N109" s="477"/>
      <c r="O109" s="477"/>
      <c r="P109" s="460"/>
      <c r="Q109" s="460"/>
      <c r="R109" s="460"/>
      <c r="S109" s="460"/>
      <c r="T109" s="460"/>
      <c r="U109" s="460"/>
      <c r="V109" s="460"/>
      <c r="W109" s="460"/>
      <c r="X109" s="460"/>
      <c r="Y109" s="460"/>
      <c r="Z109" s="460"/>
    </row>
    <row r="110" spans="1:26" ht="15.75">
      <c r="A110" s="797"/>
      <c r="B110" s="77"/>
      <c r="C110" s="77"/>
      <c r="D110" s="77"/>
      <c r="E110" s="77"/>
      <c r="F110" s="77"/>
      <c r="G110" s="77"/>
      <c r="H110" s="86"/>
      <c r="I110" s="477"/>
      <c r="J110" s="477"/>
      <c r="K110" s="477"/>
      <c r="L110" s="477"/>
      <c r="M110" s="477"/>
      <c r="N110" s="477"/>
      <c r="O110" s="477"/>
      <c r="P110" s="460"/>
      <c r="Q110" s="460"/>
      <c r="R110" s="460"/>
      <c r="S110" s="460"/>
      <c r="T110" s="460"/>
      <c r="U110" s="460"/>
      <c r="V110" s="460"/>
      <c r="W110" s="460"/>
      <c r="X110" s="460"/>
      <c r="Y110" s="460"/>
      <c r="Z110" s="460"/>
    </row>
    <row r="111" spans="1:26" ht="15.75">
      <c r="A111" s="797"/>
      <c r="B111" s="77"/>
      <c r="C111" s="77"/>
      <c r="D111" s="77"/>
      <c r="E111" s="77"/>
      <c r="F111" s="77"/>
      <c r="G111" s="77"/>
      <c r="H111" s="86"/>
      <c r="I111" s="477"/>
      <c r="J111" s="477"/>
      <c r="K111" s="477"/>
      <c r="L111" s="477"/>
      <c r="M111" s="477"/>
      <c r="N111" s="477"/>
      <c r="O111" s="477"/>
      <c r="P111" s="460"/>
      <c r="Q111" s="460"/>
      <c r="R111" s="460"/>
      <c r="S111" s="460"/>
      <c r="T111" s="460"/>
      <c r="U111" s="460"/>
      <c r="V111" s="460"/>
      <c r="W111" s="460"/>
      <c r="X111" s="460"/>
      <c r="Y111" s="460"/>
      <c r="Z111" s="460"/>
    </row>
    <row r="112" spans="1:26" ht="15.75">
      <c r="A112" s="797"/>
      <c r="B112" s="77"/>
      <c r="C112" s="77"/>
      <c r="D112" s="77"/>
      <c r="E112" s="77"/>
      <c r="F112" s="77"/>
      <c r="G112" s="77"/>
      <c r="H112" s="86"/>
      <c r="I112" s="477"/>
      <c r="J112" s="477"/>
      <c r="K112" s="477"/>
      <c r="L112" s="477"/>
      <c r="M112" s="477"/>
      <c r="N112" s="477"/>
      <c r="O112" s="477"/>
      <c r="P112" s="460"/>
      <c r="Q112" s="460"/>
      <c r="R112" s="460"/>
      <c r="S112" s="460"/>
      <c r="T112" s="460"/>
      <c r="U112" s="460"/>
      <c r="V112" s="460"/>
      <c r="W112" s="460"/>
      <c r="X112" s="460"/>
      <c r="Y112" s="460"/>
      <c r="Z112" s="460"/>
    </row>
    <row r="113" spans="1:26" ht="15.75">
      <c r="A113" s="797"/>
      <c r="B113" s="77"/>
      <c r="C113" s="77"/>
      <c r="D113" s="77"/>
      <c r="E113" s="77"/>
      <c r="F113" s="77"/>
      <c r="G113" s="77"/>
      <c r="H113" s="86"/>
      <c r="I113" s="477"/>
      <c r="J113" s="477"/>
      <c r="K113" s="477"/>
      <c r="L113" s="477"/>
      <c r="M113" s="477"/>
      <c r="N113" s="477"/>
      <c r="O113" s="477"/>
      <c r="P113" s="460"/>
      <c r="Q113" s="460"/>
      <c r="R113" s="460"/>
      <c r="S113" s="460"/>
      <c r="T113" s="460"/>
      <c r="U113" s="460"/>
      <c r="V113" s="460"/>
      <c r="W113" s="460"/>
      <c r="X113" s="460"/>
      <c r="Y113" s="460"/>
      <c r="Z113" s="460"/>
    </row>
    <row r="114" spans="1:26" ht="15.75">
      <c r="A114" s="797"/>
      <c r="B114" s="77"/>
      <c r="C114" s="77"/>
      <c r="D114" s="77"/>
      <c r="E114" s="77"/>
      <c r="F114" s="77"/>
      <c r="G114" s="77"/>
      <c r="H114" s="86"/>
      <c r="I114" s="477"/>
      <c r="J114" s="477"/>
      <c r="K114" s="477"/>
      <c r="L114" s="477"/>
      <c r="M114" s="477"/>
      <c r="N114" s="477"/>
      <c r="O114" s="477"/>
      <c r="P114" s="460"/>
      <c r="Q114" s="460"/>
      <c r="R114" s="460"/>
      <c r="S114" s="460"/>
      <c r="T114" s="460"/>
      <c r="U114" s="460"/>
      <c r="V114" s="460"/>
      <c r="W114" s="460"/>
      <c r="X114" s="460"/>
      <c r="Y114" s="460"/>
      <c r="Z114" s="460"/>
    </row>
    <row r="115" spans="1:26" ht="15.75">
      <c r="A115" s="797"/>
      <c r="B115" s="77"/>
      <c r="C115" s="77"/>
      <c r="D115" s="77"/>
      <c r="E115" s="77"/>
      <c r="F115" s="77"/>
      <c r="G115" s="77"/>
      <c r="H115" s="86"/>
      <c r="I115" s="477"/>
      <c r="J115" s="477"/>
      <c r="K115" s="477"/>
      <c r="L115" s="477"/>
      <c r="M115" s="477"/>
      <c r="N115" s="477"/>
      <c r="O115" s="477"/>
      <c r="P115" s="460"/>
      <c r="Q115" s="460"/>
      <c r="R115" s="460"/>
      <c r="S115" s="460"/>
      <c r="T115" s="460"/>
      <c r="U115" s="460"/>
      <c r="V115" s="460"/>
      <c r="W115" s="460"/>
      <c r="X115" s="460"/>
      <c r="Y115" s="460"/>
      <c r="Z115" s="460"/>
    </row>
    <row r="116" spans="1:26" ht="15.75">
      <c r="A116" s="797"/>
      <c r="B116" s="77"/>
      <c r="C116" s="77"/>
      <c r="D116" s="77"/>
      <c r="E116" s="77"/>
      <c r="F116" s="77"/>
      <c r="G116" s="77"/>
      <c r="H116" s="86"/>
      <c r="I116" s="477"/>
      <c r="J116" s="477"/>
      <c r="K116" s="477"/>
      <c r="L116" s="477"/>
      <c r="M116" s="477"/>
      <c r="N116" s="477"/>
      <c r="O116" s="477"/>
      <c r="P116" s="460"/>
      <c r="Q116" s="460"/>
      <c r="R116" s="460"/>
      <c r="S116" s="460"/>
      <c r="T116" s="460"/>
      <c r="U116" s="460"/>
      <c r="V116" s="460"/>
      <c r="W116" s="460"/>
      <c r="X116" s="460"/>
      <c r="Y116" s="460"/>
      <c r="Z116" s="460"/>
    </row>
    <row r="117" spans="1:26" ht="15.75">
      <c r="A117" s="797"/>
      <c r="B117" s="77"/>
      <c r="C117" s="77"/>
      <c r="D117" s="77"/>
      <c r="E117" s="77"/>
      <c r="F117" s="77"/>
      <c r="G117" s="77"/>
      <c r="H117" s="86"/>
      <c r="I117" s="477"/>
      <c r="J117" s="477"/>
      <c r="K117" s="477"/>
      <c r="L117" s="477"/>
      <c r="M117" s="477"/>
      <c r="N117" s="477"/>
      <c r="O117" s="477"/>
      <c r="P117" s="460"/>
      <c r="Q117" s="460"/>
      <c r="R117" s="460"/>
      <c r="S117" s="460"/>
      <c r="T117" s="460"/>
      <c r="U117" s="460"/>
      <c r="V117" s="460"/>
      <c r="W117" s="460"/>
      <c r="X117" s="460"/>
      <c r="Y117" s="460"/>
      <c r="Z117" s="460"/>
    </row>
    <row r="118" spans="1:26" ht="15.75">
      <c r="A118" s="797"/>
      <c r="B118" s="77"/>
      <c r="C118" s="77"/>
      <c r="D118" s="77"/>
      <c r="E118" s="77"/>
      <c r="F118" s="77"/>
      <c r="G118" s="77"/>
      <c r="H118" s="86"/>
      <c r="I118" s="477"/>
      <c r="J118" s="477"/>
      <c r="K118" s="477"/>
      <c r="L118" s="477"/>
      <c r="M118" s="477"/>
      <c r="N118" s="477"/>
      <c r="O118" s="477"/>
      <c r="P118" s="460"/>
      <c r="Q118" s="460"/>
      <c r="R118" s="460"/>
      <c r="S118" s="460"/>
      <c r="T118" s="460"/>
      <c r="U118" s="460"/>
      <c r="V118" s="460"/>
      <c r="W118" s="460"/>
      <c r="X118" s="460"/>
      <c r="Y118" s="460"/>
      <c r="Z118" s="460"/>
    </row>
    <row r="119" spans="1:26" ht="15.75">
      <c r="A119" s="797"/>
      <c r="B119" s="77"/>
      <c r="C119" s="77"/>
      <c r="D119" s="77"/>
      <c r="E119" s="77"/>
      <c r="F119" s="77"/>
      <c r="G119" s="77"/>
      <c r="H119" s="86"/>
      <c r="I119" s="477"/>
      <c r="J119" s="477"/>
      <c r="K119" s="477"/>
      <c r="L119" s="477"/>
      <c r="M119" s="477"/>
      <c r="N119" s="477"/>
      <c r="O119" s="477"/>
      <c r="P119" s="460"/>
      <c r="Q119" s="460"/>
      <c r="R119" s="460"/>
      <c r="S119" s="460"/>
      <c r="T119" s="460"/>
      <c r="U119" s="460"/>
      <c r="V119" s="460"/>
      <c r="W119" s="460"/>
      <c r="X119" s="460"/>
      <c r="Y119" s="460"/>
      <c r="Z119" s="460"/>
    </row>
    <row r="120" spans="1:26" ht="15.75">
      <c r="A120" s="797"/>
      <c r="B120" s="77"/>
      <c r="C120" s="77"/>
      <c r="D120" s="77"/>
      <c r="E120" s="77"/>
      <c r="F120" s="77"/>
      <c r="G120" s="77"/>
      <c r="H120" s="86"/>
      <c r="I120" s="477"/>
      <c r="J120" s="477"/>
      <c r="K120" s="477"/>
      <c r="L120" s="477"/>
      <c r="M120" s="477"/>
      <c r="N120" s="477"/>
      <c r="O120" s="477"/>
      <c r="P120" s="460"/>
      <c r="Q120" s="460"/>
      <c r="R120" s="460"/>
      <c r="S120" s="460"/>
      <c r="T120" s="460"/>
      <c r="U120" s="460"/>
      <c r="V120" s="460"/>
      <c r="W120" s="460"/>
      <c r="X120" s="460"/>
      <c r="Y120" s="460"/>
      <c r="Z120" s="460"/>
    </row>
    <row r="121" spans="1:26" ht="15.75">
      <c r="A121" s="797"/>
      <c r="B121" s="77"/>
      <c r="C121" s="77"/>
      <c r="D121" s="77"/>
      <c r="E121" s="77"/>
      <c r="F121" s="77"/>
      <c r="G121" s="77"/>
      <c r="H121" s="86"/>
      <c r="I121" s="477"/>
      <c r="J121" s="477"/>
      <c r="K121" s="477"/>
      <c r="L121" s="477"/>
      <c r="M121" s="477"/>
      <c r="N121" s="477"/>
      <c r="O121" s="477"/>
      <c r="P121" s="460"/>
      <c r="Q121" s="460"/>
      <c r="R121" s="460"/>
      <c r="S121" s="460"/>
      <c r="T121" s="460"/>
      <c r="U121" s="460"/>
      <c r="V121" s="460"/>
      <c r="W121" s="460"/>
      <c r="X121" s="460"/>
      <c r="Y121" s="460"/>
      <c r="Z121" s="460"/>
    </row>
    <row r="122" spans="1:26" ht="15.75">
      <c r="A122" s="797"/>
      <c r="B122" s="77"/>
      <c r="C122" s="77"/>
      <c r="D122" s="77"/>
      <c r="E122" s="77"/>
      <c r="F122" s="77"/>
      <c r="G122" s="77"/>
      <c r="H122" s="86"/>
      <c r="I122" s="477"/>
      <c r="J122" s="477"/>
      <c r="K122" s="477"/>
      <c r="L122" s="477"/>
      <c r="M122" s="477"/>
      <c r="N122" s="477"/>
      <c r="O122" s="477"/>
      <c r="P122" s="460"/>
      <c r="Q122" s="460"/>
      <c r="R122" s="460"/>
      <c r="S122" s="460"/>
      <c r="T122" s="460"/>
      <c r="U122" s="460"/>
      <c r="V122" s="460"/>
      <c r="W122" s="460"/>
      <c r="X122" s="460"/>
      <c r="Y122" s="460"/>
      <c r="Z122" s="460"/>
    </row>
    <row r="123" spans="1:26" ht="15.75">
      <c r="A123" s="797"/>
      <c r="B123" s="77"/>
      <c r="C123" s="77"/>
      <c r="D123" s="77"/>
      <c r="E123" s="77"/>
      <c r="F123" s="77"/>
      <c r="G123" s="77"/>
      <c r="H123" s="86"/>
      <c r="I123" s="477"/>
      <c r="J123" s="477"/>
      <c r="K123" s="477"/>
      <c r="L123" s="477"/>
      <c r="M123" s="477"/>
      <c r="N123" s="477"/>
      <c r="O123" s="477"/>
      <c r="P123" s="460"/>
      <c r="Q123" s="460"/>
      <c r="R123" s="460"/>
      <c r="S123" s="460"/>
      <c r="T123" s="460"/>
      <c r="U123" s="460"/>
      <c r="V123" s="460"/>
      <c r="W123" s="460"/>
      <c r="X123" s="460"/>
      <c r="Y123" s="460"/>
      <c r="Z123" s="460"/>
    </row>
    <row r="124" spans="1:26" ht="15.75">
      <c r="A124" s="797"/>
      <c r="B124" s="77"/>
      <c r="C124" s="77"/>
      <c r="D124" s="77"/>
      <c r="E124" s="77"/>
      <c r="F124" s="77"/>
      <c r="G124" s="77"/>
      <c r="H124" s="86"/>
      <c r="I124" s="477"/>
      <c r="J124" s="477"/>
      <c r="K124" s="477"/>
      <c r="L124" s="477"/>
      <c r="M124" s="477"/>
      <c r="N124" s="477"/>
      <c r="O124" s="477"/>
      <c r="P124" s="460"/>
      <c r="Q124" s="460"/>
      <c r="R124" s="460"/>
      <c r="S124" s="460"/>
      <c r="T124" s="460"/>
      <c r="U124" s="460"/>
      <c r="V124" s="460"/>
      <c r="W124" s="460"/>
      <c r="X124" s="460"/>
      <c r="Y124" s="460"/>
      <c r="Z124" s="460"/>
    </row>
    <row r="125" spans="1:26" ht="15.75">
      <c r="A125" s="797"/>
      <c r="B125" s="77"/>
      <c r="C125" s="77"/>
      <c r="D125" s="77"/>
      <c r="E125" s="77"/>
      <c r="F125" s="77"/>
      <c r="G125" s="77"/>
      <c r="H125" s="86"/>
      <c r="I125" s="477"/>
      <c r="J125" s="477"/>
      <c r="K125" s="477"/>
      <c r="L125" s="477"/>
      <c r="M125" s="477"/>
      <c r="N125" s="477"/>
      <c r="O125" s="477"/>
      <c r="P125" s="460"/>
      <c r="Q125" s="460"/>
      <c r="R125" s="460"/>
      <c r="S125" s="460"/>
      <c r="T125" s="460"/>
      <c r="U125" s="460"/>
      <c r="V125" s="460"/>
      <c r="W125" s="460"/>
      <c r="X125" s="460"/>
      <c r="Y125" s="460"/>
      <c r="Z125" s="460"/>
    </row>
    <row r="126" spans="1:26" ht="15.75">
      <c r="A126" s="797"/>
      <c r="B126" s="77"/>
      <c r="C126" s="77"/>
      <c r="D126" s="77"/>
      <c r="E126" s="77"/>
      <c r="F126" s="77"/>
      <c r="G126" s="77"/>
      <c r="H126" s="86"/>
      <c r="I126" s="477"/>
      <c r="J126" s="477"/>
      <c r="K126" s="477"/>
      <c r="L126" s="477"/>
      <c r="M126" s="477"/>
      <c r="N126" s="477"/>
      <c r="O126" s="477"/>
      <c r="P126" s="460"/>
      <c r="Q126" s="460"/>
      <c r="R126" s="460"/>
      <c r="S126" s="460"/>
      <c r="T126" s="460"/>
      <c r="U126" s="460"/>
      <c r="V126" s="460"/>
      <c r="W126" s="460"/>
      <c r="X126" s="460"/>
      <c r="Y126" s="460"/>
      <c r="Z126" s="460"/>
    </row>
    <row r="127" spans="1:26" ht="15.75">
      <c r="A127" s="797"/>
      <c r="B127" s="77"/>
      <c r="C127" s="77"/>
      <c r="D127" s="77"/>
      <c r="E127" s="77"/>
      <c r="F127" s="77"/>
      <c r="G127" s="77"/>
      <c r="H127" s="86"/>
      <c r="I127" s="477"/>
      <c r="J127" s="477"/>
      <c r="K127" s="477"/>
      <c r="L127" s="477"/>
      <c r="M127" s="477"/>
      <c r="N127" s="477"/>
      <c r="O127" s="477"/>
      <c r="P127" s="460"/>
      <c r="Q127" s="460"/>
      <c r="R127" s="460"/>
      <c r="S127" s="460"/>
      <c r="T127" s="460"/>
      <c r="U127" s="460"/>
      <c r="V127" s="460"/>
      <c r="W127" s="460"/>
      <c r="X127" s="460"/>
      <c r="Y127" s="460"/>
      <c r="Z127" s="460"/>
    </row>
    <row r="128" spans="1:26" ht="15.75">
      <c r="A128" s="797"/>
      <c r="B128" s="77"/>
      <c r="C128" s="77"/>
      <c r="D128" s="77"/>
      <c r="E128" s="77"/>
      <c r="F128" s="77"/>
      <c r="G128" s="77"/>
      <c r="H128" s="86"/>
      <c r="I128" s="477"/>
      <c r="J128" s="477"/>
      <c r="K128" s="477"/>
      <c r="L128" s="477"/>
      <c r="M128" s="477"/>
      <c r="N128" s="477"/>
      <c r="O128" s="477"/>
      <c r="P128" s="460"/>
      <c r="Q128" s="460"/>
      <c r="R128" s="460"/>
      <c r="S128" s="460"/>
      <c r="T128" s="460"/>
      <c r="U128" s="460"/>
      <c r="V128" s="460"/>
      <c r="W128" s="460"/>
      <c r="X128" s="460"/>
      <c r="Y128" s="460"/>
      <c r="Z128" s="460"/>
    </row>
    <row r="129" spans="1:26" ht="15.75">
      <c r="A129" s="797"/>
      <c r="B129" s="77"/>
      <c r="C129" s="77"/>
      <c r="D129" s="77"/>
      <c r="E129" s="77"/>
      <c r="F129" s="77"/>
      <c r="G129" s="77"/>
      <c r="H129" s="86"/>
      <c r="I129" s="477"/>
      <c r="J129" s="477"/>
      <c r="K129" s="477"/>
      <c r="L129" s="477"/>
      <c r="M129" s="477"/>
      <c r="N129" s="477"/>
      <c r="O129" s="477"/>
      <c r="P129" s="460"/>
      <c r="Q129" s="460"/>
      <c r="R129" s="460"/>
      <c r="S129" s="460"/>
      <c r="T129" s="460"/>
      <c r="U129" s="460"/>
      <c r="V129" s="460"/>
      <c r="W129" s="460"/>
      <c r="X129" s="460"/>
      <c r="Y129" s="460"/>
      <c r="Z129" s="460"/>
    </row>
    <row r="130" spans="1:26" ht="15.75">
      <c r="A130" s="797"/>
      <c r="B130" s="77"/>
      <c r="C130" s="77"/>
      <c r="D130" s="77"/>
      <c r="E130" s="77"/>
      <c r="F130" s="77"/>
      <c r="G130" s="77"/>
      <c r="H130" s="86"/>
      <c r="I130" s="477"/>
      <c r="J130" s="477"/>
      <c r="K130" s="477"/>
      <c r="L130" s="477"/>
      <c r="M130" s="477"/>
      <c r="N130" s="477"/>
      <c r="O130" s="477"/>
      <c r="P130" s="460"/>
      <c r="Q130" s="460"/>
      <c r="R130" s="460"/>
      <c r="S130" s="460"/>
      <c r="T130" s="460"/>
      <c r="U130" s="460"/>
      <c r="V130" s="460"/>
      <c r="W130" s="460"/>
      <c r="X130" s="460"/>
      <c r="Y130" s="460"/>
      <c r="Z130" s="460"/>
    </row>
    <row r="131" spans="1:26" ht="15.75">
      <c r="A131" s="797"/>
      <c r="B131" s="77"/>
      <c r="C131" s="77"/>
      <c r="D131" s="77"/>
      <c r="E131" s="77"/>
      <c r="F131" s="77"/>
      <c r="G131" s="77"/>
      <c r="H131" s="86"/>
      <c r="I131" s="477"/>
      <c r="J131" s="477"/>
      <c r="K131" s="477"/>
      <c r="L131" s="477"/>
      <c r="M131" s="477"/>
      <c r="N131" s="477"/>
      <c r="O131" s="477"/>
      <c r="P131" s="460"/>
      <c r="Q131" s="460"/>
      <c r="R131" s="460"/>
      <c r="S131" s="460"/>
      <c r="T131" s="460"/>
      <c r="U131" s="460"/>
      <c r="V131" s="460"/>
      <c r="W131" s="460"/>
      <c r="X131" s="460"/>
      <c r="Y131" s="460"/>
      <c r="Z131" s="460"/>
    </row>
    <row r="132" spans="1:26" ht="15.75">
      <c r="A132" s="797"/>
      <c r="B132" s="77"/>
      <c r="C132" s="77"/>
      <c r="D132" s="77"/>
      <c r="E132" s="77"/>
      <c r="F132" s="77"/>
      <c r="G132" s="77"/>
      <c r="H132" s="86"/>
      <c r="I132" s="477"/>
      <c r="J132" s="477"/>
      <c r="K132" s="477"/>
      <c r="L132" s="477"/>
      <c r="M132" s="477"/>
      <c r="N132" s="477"/>
      <c r="O132" s="477"/>
      <c r="P132" s="460"/>
      <c r="Q132" s="460"/>
      <c r="R132" s="460"/>
      <c r="S132" s="460"/>
      <c r="T132" s="460"/>
      <c r="U132" s="460"/>
      <c r="V132" s="460"/>
      <c r="W132" s="460"/>
      <c r="X132" s="460"/>
      <c r="Y132" s="460"/>
      <c r="Z132" s="460"/>
    </row>
    <row r="133" spans="1:26" ht="15.75">
      <c r="A133" s="797"/>
      <c r="B133" s="77"/>
      <c r="C133" s="77"/>
      <c r="D133" s="77"/>
      <c r="E133" s="77"/>
      <c r="F133" s="77"/>
      <c r="G133" s="77"/>
      <c r="H133" s="86"/>
      <c r="I133" s="477"/>
      <c r="J133" s="477"/>
      <c r="K133" s="477"/>
      <c r="L133" s="477"/>
      <c r="M133" s="477"/>
      <c r="N133" s="477"/>
      <c r="O133" s="477"/>
      <c r="P133" s="460"/>
      <c r="Q133" s="460"/>
      <c r="R133" s="460"/>
      <c r="S133" s="460"/>
      <c r="T133" s="460"/>
      <c r="U133" s="460"/>
      <c r="V133" s="460"/>
      <c r="W133" s="460"/>
      <c r="X133" s="460"/>
      <c r="Y133" s="460"/>
      <c r="Z133" s="460"/>
    </row>
    <row r="134" spans="1:26" ht="15.75">
      <c r="A134" s="797"/>
      <c r="B134" s="77"/>
      <c r="C134" s="77"/>
      <c r="D134" s="77"/>
      <c r="E134" s="77"/>
      <c r="F134" s="77"/>
      <c r="G134" s="77"/>
      <c r="H134" s="86"/>
      <c r="I134" s="477"/>
      <c r="J134" s="477"/>
      <c r="K134" s="477"/>
      <c r="L134" s="477"/>
      <c r="M134" s="477"/>
      <c r="N134" s="477"/>
      <c r="O134" s="477"/>
      <c r="P134" s="460"/>
      <c r="Q134" s="460"/>
      <c r="R134" s="460"/>
      <c r="S134" s="460"/>
      <c r="T134" s="460"/>
      <c r="U134" s="460"/>
      <c r="V134" s="460"/>
      <c r="W134" s="460"/>
      <c r="X134" s="460"/>
      <c r="Y134" s="460"/>
      <c r="Z134" s="460"/>
    </row>
    <row r="135" spans="1:26" ht="15.75">
      <c r="A135" s="797"/>
      <c r="B135" s="77"/>
      <c r="C135" s="77"/>
      <c r="D135" s="77"/>
      <c r="E135" s="77"/>
      <c r="F135" s="77"/>
      <c r="G135" s="77"/>
      <c r="H135" s="86"/>
      <c r="I135" s="477"/>
      <c r="J135" s="477"/>
      <c r="K135" s="477"/>
      <c r="L135" s="477"/>
      <c r="M135" s="477"/>
      <c r="N135" s="477"/>
      <c r="O135" s="477"/>
      <c r="P135" s="460"/>
      <c r="Q135" s="460"/>
      <c r="R135" s="460"/>
      <c r="S135" s="460"/>
      <c r="T135" s="460"/>
      <c r="U135" s="460"/>
      <c r="V135" s="460"/>
      <c r="W135" s="460"/>
      <c r="X135" s="460"/>
      <c r="Y135" s="460"/>
      <c r="Z135" s="460"/>
    </row>
    <row r="136" spans="1:26" ht="15.75">
      <c r="A136" s="797"/>
      <c r="B136" s="77"/>
      <c r="C136" s="77"/>
      <c r="D136" s="77"/>
      <c r="E136" s="77"/>
      <c r="F136" s="77"/>
      <c r="G136" s="77"/>
      <c r="H136" s="86"/>
      <c r="I136" s="477"/>
      <c r="J136" s="477"/>
      <c r="K136" s="477"/>
      <c r="L136" s="477"/>
      <c r="M136" s="477"/>
      <c r="N136" s="477"/>
      <c r="O136" s="477"/>
      <c r="P136" s="460"/>
      <c r="Q136" s="460"/>
      <c r="R136" s="460"/>
      <c r="S136" s="460"/>
      <c r="T136" s="460"/>
      <c r="U136" s="460"/>
      <c r="V136" s="460"/>
      <c r="W136" s="460"/>
      <c r="X136" s="460"/>
      <c r="Y136" s="460"/>
      <c r="Z136" s="460"/>
    </row>
    <row r="137" spans="1:26" ht="15.75">
      <c r="A137" s="797"/>
      <c r="B137" s="77"/>
      <c r="C137" s="77"/>
      <c r="D137" s="77"/>
      <c r="E137" s="77"/>
      <c r="F137" s="77"/>
      <c r="G137" s="77"/>
      <c r="H137" s="86"/>
      <c r="I137" s="477"/>
      <c r="J137" s="477"/>
      <c r="K137" s="477"/>
      <c r="L137" s="477"/>
      <c r="M137" s="477"/>
      <c r="N137" s="477"/>
      <c r="O137" s="477"/>
      <c r="P137" s="460"/>
      <c r="Q137" s="460"/>
      <c r="R137" s="460"/>
      <c r="S137" s="460"/>
      <c r="T137" s="460"/>
      <c r="U137" s="460"/>
      <c r="V137" s="460"/>
      <c r="W137" s="460"/>
      <c r="X137" s="460"/>
      <c r="Y137" s="460"/>
      <c r="Z137" s="460"/>
    </row>
    <row r="138" spans="1:26" ht="15.75">
      <c r="A138" s="797"/>
      <c r="B138" s="77"/>
      <c r="C138" s="77"/>
      <c r="D138" s="77"/>
      <c r="E138" s="77"/>
      <c r="F138" s="77"/>
      <c r="G138" s="77"/>
      <c r="H138" s="86"/>
      <c r="I138" s="477"/>
      <c r="J138" s="477"/>
      <c r="K138" s="477"/>
      <c r="L138" s="477"/>
      <c r="M138" s="477"/>
      <c r="N138" s="477"/>
      <c r="O138" s="477"/>
      <c r="P138" s="460"/>
      <c r="Q138" s="460"/>
      <c r="R138" s="460"/>
      <c r="S138" s="460"/>
      <c r="T138" s="460"/>
      <c r="U138" s="460"/>
      <c r="V138" s="460"/>
      <c r="W138" s="460"/>
      <c r="X138" s="460"/>
      <c r="Y138" s="460"/>
      <c r="Z138" s="460"/>
    </row>
    <row r="139" spans="1:26" ht="15.75">
      <c r="A139" s="797"/>
      <c r="B139" s="77"/>
      <c r="C139" s="77"/>
      <c r="D139" s="77"/>
      <c r="E139" s="77"/>
      <c r="F139" s="77"/>
      <c r="G139" s="77"/>
      <c r="H139" s="86"/>
      <c r="I139" s="477"/>
      <c r="J139" s="477"/>
      <c r="K139" s="477"/>
      <c r="L139" s="477"/>
      <c r="M139" s="477"/>
      <c r="N139" s="477"/>
      <c r="O139" s="477"/>
      <c r="P139" s="460"/>
      <c r="Q139" s="460"/>
      <c r="R139" s="460"/>
      <c r="S139" s="460"/>
      <c r="T139" s="460"/>
      <c r="U139" s="460"/>
      <c r="V139" s="460"/>
      <c r="W139" s="460"/>
      <c r="X139" s="460"/>
      <c r="Y139" s="460"/>
      <c r="Z139" s="460"/>
    </row>
    <row r="140" spans="1:26" ht="15.75">
      <c r="A140" s="797"/>
      <c r="B140" s="77"/>
      <c r="C140" s="77"/>
      <c r="D140" s="77"/>
      <c r="E140" s="77"/>
      <c r="F140" s="77"/>
      <c r="G140" s="77"/>
      <c r="H140" s="86"/>
      <c r="I140" s="477"/>
      <c r="J140" s="477"/>
      <c r="K140" s="477"/>
      <c r="L140" s="477"/>
      <c r="M140" s="477"/>
      <c r="N140" s="477"/>
      <c r="O140" s="477"/>
      <c r="P140" s="460"/>
      <c r="Q140" s="460"/>
      <c r="R140" s="460"/>
      <c r="S140" s="460"/>
      <c r="T140" s="460"/>
      <c r="U140" s="460"/>
      <c r="V140" s="460"/>
      <c r="W140" s="460"/>
      <c r="X140" s="460"/>
      <c r="Y140" s="460"/>
      <c r="Z140" s="460"/>
    </row>
    <row r="141" spans="1:26" ht="15.75">
      <c r="A141" s="797"/>
      <c r="B141" s="77"/>
      <c r="C141" s="77"/>
      <c r="D141" s="77"/>
      <c r="E141" s="77"/>
      <c r="F141" s="77"/>
      <c r="G141" s="77"/>
      <c r="H141" s="86"/>
      <c r="I141" s="477"/>
      <c r="J141" s="477"/>
      <c r="K141" s="477"/>
      <c r="L141" s="477"/>
      <c r="M141" s="477"/>
      <c r="N141" s="477"/>
      <c r="O141" s="477"/>
      <c r="P141" s="460"/>
      <c r="Q141" s="460"/>
      <c r="R141" s="460"/>
      <c r="S141" s="460"/>
      <c r="T141" s="460"/>
      <c r="U141" s="460"/>
      <c r="V141" s="460"/>
      <c r="W141" s="460"/>
      <c r="X141" s="460"/>
      <c r="Y141" s="460"/>
      <c r="Z141" s="460"/>
    </row>
    <row r="142" spans="1:26" ht="15.75">
      <c r="A142" s="797"/>
      <c r="B142" s="77"/>
      <c r="C142" s="77"/>
      <c r="D142" s="77"/>
      <c r="E142" s="77"/>
      <c r="F142" s="77"/>
      <c r="G142" s="77"/>
      <c r="H142" s="86"/>
      <c r="I142" s="477"/>
      <c r="J142" s="477"/>
      <c r="K142" s="477"/>
      <c r="L142" s="477"/>
      <c r="M142" s="477"/>
      <c r="N142" s="477"/>
      <c r="O142" s="477"/>
      <c r="P142" s="460"/>
      <c r="Q142" s="460"/>
      <c r="R142" s="460"/>
      <c r="S142" s="460"/>
      <c r="T142" s="460"/>
      <c r="U142" s="460"/>
      <c r="V142" s="460"/>
      <c r="W142" s="460"/>
      <c r="X142" s="460"/>
      <c r="Y142" s="460"/>
      <c r="Z142" s="460"/>
    </row>
    <row r="143" spans="1:26" ht="15.75">
      <c r="A143" s="797"/>
      <c r="B143" s="77"/>
      <c r="C143" s="77"/>
      <c r="D143" s="77"/>
      <c r="E143" s="77"/>
      <c r="F143" s="77"/>
      <c r="G143" s="77"/>
      <c r="H143" s="86"/>
      <c r="I143" s="477"/>
      <c r="J143" s="477"/>
      <c r="K143" s="477"/>
      <c r="L143" s="477"/>
      <c r="M143" s="477"/>
      <c r="N143" s="477"/>
      <c r="O143" s="477"/>
      <c r="P143" s="460"/>
      <c r="Q143" s="460"/>
      <c r="R143" s="460"/>
      <c r="S143" s="460"/>
      <c r="T143" s="460"/>
      <c r="U143" s="460"/>
      <c r="V143" s="460"/>
      <c r="W143" s="460"/>
      <c r="X143" s="460"/>
      <c r="Y143" s="460"/>
      <c r="Z143" s="460"/>
    </row>
    <row r="144" spans="1:26" ht="15.75">
      <c r="A144" s="797"/>
      <c r="B144" s="77"/>
      <c r="C144" s="77"/>
      <c r="D144" s="77"/>
      <c r="E144" s="77"/>
      <c r="F144" s="77"/>
      <c r="G144" s="77"/>
      <c r="H144" s="86"/>
      <c r="I144" s="477"/>
      <c r="J144" s="477"/>
      <c r="K144" s="477"/>
      <c r="L144" s="477"/>
      <c r="M144" s="477"/>
      <c r="N144" s="477"/>
      <c r="O144" s="477"/>
      <c r="P144" s="460"/>
      <c r="Q144" s="460"/>
      <c r="R144" s="460"/>
      <c r="S144" s="460"/>
      <c r="T144" s="460"/>
      <c r="U144" s="460"/>
      <c r="V144" s="460"/>
      <c r="W144" s="460"/>
      <c r="X144" s="460"/>
      <c r="Y144" s="460"/>
      <c r="Z144" s="460"/>
    </row>
    <row r="145" spans="1:26" ht="15.75">
      <c r="A145" s="797"/>
      <c r="B145" s="77"/>
      <c r="C145" s="77"/>
      <c r="D145" s="77"/>
      <c r="E145" s="77"/>
      <c r="F145" s="77"/>
      <c r="G145" s="77"/>
      <c r="H145" s="86"/>
      <c r="I145" s="477"/>
      <c r="J145" s="477"/>
      <c r="K145" s="477"/>
      <c r="L145" s="477"/>
      <c r="M145" s="477"/>
      <c r="N145" s="477"/>
      <c r="O145" s="477"/>
      <c r="P145" s="460"/>
      <c r="Q145" s="460"/>
      <c r="R145" s="460"/>
      <c r="S145" s="460"/>
      <c r="T145" s="460"/>
      <c r="U145" s="460"/>
      <c r="V145" s="460"/>
      <c r="W145" s="460"/>
      <c r="X145" s="460"/>
      <c r="Y145" s="460"/>
      <c r="Z145" s="460"/>
    </row>
    <row r="146" spans="1:26" ht="15.75">
      <c r="A146" s="797"/>
      <c r="B146" s="77"/>
      <c r="C146" s="77"/>
      <c r="D146" s="77"/>
      <c r="E146" s="77"/>
      <c r="F146" s="77"/>
      <c r="G146" s="77"/>
      <c r="H146" s="86"/>
      <c r="I146" s="477"/>
      <c r="J146" s="477"/>
      <c r="K146" s="477"/>
      <c r="L146" s="477"/>
      <c r="M146" s="477"/>
      <c r="N146" s="477"/>
      <c r="O146" s="477"/>
      <c r="P146" s="460"/>
      <c r="Q146" s="460"/>
      <c r="R146" s="460"/>
      <c r="S146" s="460"/>
      <c r="T146" s="460"/>
      <c r="U146" s="460"/>
      <c r="V146" s="460"/>
      <c r="W146" s="460"/>
      <c r="X146" s="460"/>
      <c r="Y146" s="460"/>
      <c r="Z146" s="460"/>
    </row>
    <row r="147" spans="1:26" ht="15.75">
      <c r="A147" s="797"/>
      <c r="B147" s="77"/>
      <c r="C147" s="77"/>
      <c r="D147" s="77"/>
      <c r="E147" s="77"/>
      <c r="F147" s="77"/>
      <c r="G147" s="77"/>
      <c r="H147" s="86"/>
      <c r="I147" s="477"/>
      <c r="J147" s="477"/>
      <c r="K147" s="477"/>
      <c r="L147" s="477"/>
      <c r="M147" s="477"/>
      <c r="N147" s="477"/>
      <c r="O147" s="477"/>
      <c r="P147" s="460"/>
      <c r="Q147" s="460"/>
      <c r="R147" s="460"/>
      <c r="S147" s="460"/>
      <c r="T147" s="460"/>
      <c r="U147" s="460"/>
      <c r="V147" s="460"/>
      <c r="W147" s="460"/>
      <c r="X147" s="460"/>
      <c r="Y147" s="460"/>
      <c r="Z147" s="460"/>
    </row>
    <row r="148" spans="1:26" ht="15.75">
      <c r="A148" s="797"/>
      <c r="B148" s="77"/>
      <c r="C148" s="77"/>
      <c r="D148" s="77"/>
      <c r="E148" s="77"/>
      <c r="F148" s="77"/>
      <c r="G148" s="77"/>
      <c r="H148" s="86"/>
      <c r="I148" s="477"/>
      <c r="J148" s="477"/>
      <c r="K148" s="477"/>
      <c r="L148" s="477"/>
      <c r="M148" s="477"/>
      <c r="N148" s="477"/>
      <c r="O148" s="477"/>
      <c r="P148" s="460"/>
      <c r="Q148" s="460"/>
      <c r="R148" s="460"/>
      <c r="S148" s="460"/>
      <c r="T148" s="460"/>
      <c r="U148" s="460"/>
      <c r="V148" s="460"/>
      <c r="W148" s="460"/>
      <c r="X148" s="460"/>
      <c r="Y148" s="460"/>
      <c r="Z148" s="460"/>
    </row>
    <row r="149" spans="1:26" ht="15.75">
      <c r="A149" s="797"/>
      <c r="B149" s="77"/>
      <c r="C149" s="77"/>
      <c r="D149" s="77"/>
      <c r="E149" s="77"/>
      <c r="F149" s="77"/>
      <c r="G149" s="77"/>
      <c r="H149" s="86"/>
      <c r="I149" s="477"/>
      <c r="J149" s="477"/>
      <c r="K149" s="477"/>
      <c r="L149" s="477"/>
      <c r="M149" s="477"/>
      <c r="N149" s="477"/>
      <c r="O149" s="477"/>
      <c r="P149" s="460"/>
      <c r="Q149" s="460"/>
      <c r="R149" s="460"/>
      <c r="S149" s="460"/>
      <c r="T149" s="460"/>
      <c r="U149" s="460"/>
      <c r="V149" s="460"/>
      <c r="W149" s="460"/>
      <c r="X149" s="460"/>
      <c r="Y149" s="460"/>
      <c r="Z149" s="460"/>
    </row>
    <row r="150" spans="1:26" ht="15.75">
      <c r="A150" s="797"/>
      <c r="B150" s="77"/>
      <c r="C150" s="77"/>
      <c r="D150" s="77"/>
      <c r="E150" s="77"/>
      <c r="F150" s="77"/>
      <c r="G150" s="77"/>
      <c r="H150" s="86"/>
      <c r="I150" s="477"/>
      <c r="J150" s="477"/>
      <c r="K150" s="477"/>
      <c r="L150" s="477"/>
      <c r="M150" s="477"/>
      <c r="N150" s="477"/>
      <c r="O150" s="477"/>
      <c r="P150" s="460"/>
      <c r="Q150" s="460"/>
      <c r="R150" s="460"/>
      <c r="S150" s="460"/>
      <c r="T150" s="460"/>
      <c r="U150" s="460"/>
      <c r="V150" s="460"/>
      <c r="W150" s="460"/>
      <c r="X150" s="460"/>
      <c r="Y150" s="460"/>
      <c r="Z150" s="460"/>
    </row>
    <row r="151" spans="1:26" ht="15.75">
      <c r="A151" s="797"/>
      <c r="B151" s="77"/>
      <c r="C151" s="77"/>
      <c r="D151" s="77"/>
      <c r="E151" s="77"/>
      <c r="F151" s="77"/>
      <c r="G151" s="77"/>
      <c r="H151" s="86"/>
      <c r="I151" s="477"/>
      <c r="J151" s="477"/>
      <c r="K151" s="477"/>
      <c r="L151" s="477"/>
      <c r="M151" s="477"/>
      <c r="N151" s="477"/>
      <c r="O151" s="477"/>
      <c r="P151" s="460"/>
      <c r="Q151" s="460"/>
      <c r="R151" s="460"/>
      <c r="S151" s="460"/>
      <c r="T151" s="460"/>
      <c r="U151" s="460"/>
      <c r="V151" s="460"/>
      <c r="W151" s="460"/>
      <c r="X151" s="460"/>
      <c r="Y151" s="460"/>
      <c r="Z151" s="460"/>
    </row>
    <row r="152" spans="1:26" ht="15.75">
      <c r="A152" s="797"/>
      <c r="B152" s="77"/>
      <c r="C152" s="77"/>
      <c r="D152" s="77"/>
      <c r="E152" s="77"/>
      <c r="F152" s="77"/>
      <c r="G152" s="77"/>
      <c r="H152" s="86"/>
      <c r="I152" s="477"/>
      <c r="J152" s="477"/>
      <c r="K152" s="477"/>
      <c r="L152" s="477"/>
      <c r="M152" s="477"/>
      <c r="N152" s="477"/>
      <c r="O152" s="477"/>
      <c r="P152" s="460"/>
      <c r="Q152" s="460"/>
      <c r="R152" s="460"/>
      <c r="S152" s="460"/>
      <c r="T152" s="460"/>
      <c r="U152" s="460"/>
      <c r="V152" s="460"/>
      <c r="W152" s="460"/>
      <c r="X152" s="460"/>
      <c r="Y152" s="460"/>
      <c r="Z152" s="460"/>
    </row>
    <row r="153" spans="1:26" ht="15.75">
      <c r="A153" s="797"/>
      <c r="B153" s="77"/>
      <c r="C153" s="77"/>
      <c r="D153" s="77"/>
      <c r="E153" s="77"/>
      <c r="F153" s="77"/>
      <c r="G153" s="77"/>
      <c r="H153" s="86"/>
      <c r="I153" s="477"/>
      <c r="J153" s="477"/>
      <c r="K153" s="477"/>
      <c r="L153" s="477"/>
      <c r="M153" s="477"/>
      <c r="N153" s="477"/>
      <c r="O153" s="477"/>
      <c r="P153" s="460"/>
      <c r="Q153" s="460"/>
      <c r="R153" s="460"/>
      <c r="S153" s="460"/>
      <c r="T153" s="460"/>
      <c r="U153" s="460"/>
      <c r="V153" s="460"/>
      <c r="W153" s="460"/>
      <c r="X153" s="460"/>
      <c r="Y153" s="460"/>
      <c r="Z153" s="460"/>
    </row>
    <row r="154" spans="1:26" ht="15.75">
      <c r="A154" s="797"/>
      <c r="B154" s="77"/>
      <c r="C154" s="77"/>
      <c r="D154" s="77"/>
      <c r="E154" s="77"/>
      <c r="F154" s="77"/>
      <c r="G154" s="77"/>
      <c r="H154" s="86"/>
      <c r="I154" s="477"/>
      <c r="J154" s="477"/>
      <c r="K154" s="477"/>
      <c r="L154" s="477"/>
      <c r="M154" s="477"/>
      <c r="N154" s="477"/>
      <c r="O154" s="477"/>
      <c r="P154" s="460"/>
      <c r="Q154" s="460"/>
      <c r="R154" s="460"/>
      <c r="S154" s="460"/>
      <c r="T154" s="460"/>
      <c r="U154" s="460"/>
      <c r="V154" s="460"/>
      <c r="W154" s="460"/>
      <c r="X154" s="460"/>
      <c r="Y154" s="460"/>
      <c r="Z154" s="460"/>
    </row>
    <row r="155" spans="1:26" ht="15.75">
      <c r="A155" s="797"/>
      <c r="B155" s="77"/>
      <c r="C155" s="77"/>
      <c r="D155" s="77"/>
      <c r="E155" s="77"/>
      <c r="F155" s="77"/>
      <c r="G155" s="77"/>
      <c r="H155" s="86"/>
      <c r="I155" s="477"/>
      <c r="J155" s="477"/>
      <c r="K155" s="477"/>
      <c r="L155" s="477"/>
      <c r="M155" s="477"/>
      <c r="N155" s="477"/>
      <c r="O155" s="477"/>
      <c r="P155" s="460"/>
      <c r="Q155" s="460"/>
      <c r="R155" s="460"/>
      <c r="S155" s="460"/>
      <c r="T155" s="460"/>
      <c r="U155" s="460"/>
      <c r="V155" s="460"/>
      <c r="W155" s="460"/>
      <c r="X155" s="460"/>
      <c r="Y155" s="460"/>
      <c r="Z155" s="460"/>
    </row>
    <row r="156" spans="1:26" ht="15.75">
      <c r="A156" s="797"/>
      <c r="B156" s="77"/>
      <c r="C156" s="77"/>
      <c r="D156" s="77"/>
      <c r="E156" s="77"/>
      <c r="F156" s="77"/>
      <c r="G156" s="77"/>
      <c r="H156" s="86"/>
      <c r="I156" s="477"/>
      <c r="J156" s="477"/>
      <c r="K156" s="477"/>
      <c r="L156" s="477"/>
      <c r="M156" s="477"/>
      <c r="N156" s="477"/>
      <c r="O156" s="477"/>
      <c r="P156" s="460"/>
      <c r="Q156" s="460"/>
      <c r="R156" s="460"/>
      <c r="S156" s="460"/>
      <c r="T156" s="460"/>
      <c r="U156" s="460"/>
      <c r="V156" s="460"/>
      <c r="W156" s="460"/>
      <c r="X156" s="460"/>
      <c r="Y156" s="460"/>
      <c r="Z156" s="460"/>
    </row>
    <row r="157" spans="1:26" ht="15.75">
      <c r="A157" s="797"/>
      <c r="B157" s="77"/>
      <c r="C157" s="77"/>
      <c r="D157" s="77"/>
      <c r="E157" s="77"/>
      <c r="F157" s="77"/>
      <c r="G157" s="77"/>
      <c r="H157" s="86"/>
      <c r="I157" s="477"/>
      <c r="J157" s="477"/>
      <c r="K157" s="477"/>
      <c r="L157" s="477"/>
      <c r="M157" s="477"/>
      <c r="N157" s="477"/>
      <c r="O157" s="477"/>
      <c r="P157" s="460"/>
      <c r="Q157" s="460"/>
      <c r="R157" s="460"/>
      <c r="S157" s="460"/>
      <c r="T157" s="460"/>
      <c r="U157" s="460"/>
      <c r="V157" s="460"/>
      <c r="W157" s="460"/>
      <c r="X157" s="460"/>
      <c r="Y157" s="460"/>
      <c r="Z157" s="460"/>
    </row>
    <row r="158" spans="1:26" ht="15.75">
      <c r="A158" s="797"/>
      <c r="B158" s="77"/>
      <c r="C158" s="77"/>
      <c r="D158" s="77"/>
      <c r="E158" s="77"/>
      <c r="F158" s="77"/>
      <c r="G158" s="77"/>
      <c r="H158" s="86"/>
      <c r="I158" s="477"/>
      <c r="J158" s="477"/>
      <c r="K158" s="477"/>
      <c r="L158" s="477"/>
      <c r="M158" s="477"/>
      <c r="N158" s="477"/>
      <c r="O158" s="477"/>
      <c r="P158" s="460"/>
      <c r="Q158" s="460"/>
      <c r="R158" s="460"/>
      <c r="S158" s="460"/>
      <c r="T158" s="460"/>
      <c r="U158" s="460"/>
      <c r="V158" s="460"/>
      <c r="W158" s="460"/>
      <c r="X158" s="460"/>
      <c r="Y158" s="460"/>
      <c r="Z158" s="460"/>
    </row>
    <row r="159" spans="1:26" ht="15.75">
      <c r="A159" s="797"/>
      <c r="B159" s="77"/>
      <c r="C159" s="77"/>
      <c r="D159" s="77"/>
      <c r="E159" s="77"/>
      <c r="F159" s="77"/>
      <c r="G159" s="77"/>
      <c r="H159" s="86"/>
      <c r="I159" s="477"/>
      <c r="J159" s="477"/>
      <c r="K159" s="477"/>
      <c r="L159" s="477"/>
      <c r="M159" s="477"/>
      <c r="N159" s="477"/>
      <c r="O159" s="477"/>
      <c r="P159" s="460"/>
      <c r="Q159" s="460"/>
      <c r="R159" s="460"/>
      <c r="S159" s="460"/>
      <c r="T159" s="460"/>
      <c r="U159" s="460"/>
      <c r="V159" s="460"/>
      <c r="W159" s="460"/>
      <c r="X159" s="460"/>
      <c r="Y159" s="460"/>
      <c r="Z159" s="460"/>
    </row>
    <row r="160" spans="1:26" ht="15.75">
      <c r="A160" s="797"/>
      <c r="B160" s="77"/>
      <c r="C160" s="77"/>
      <c r="D160" s="77"/>
      <c r="E160" s="77"/>
      <c r="F160" s="77"/>
      <c r="G160" s="77"/>
      <c r="H160" s="86"/>
      <c r="I160" s="477"/>
      <c r="J160" s="477"/>
      <c r="K160" s="477"/>
      <c r="L160" s="477"/>
      <c r="M160" s="477"/>
      <c r="N160" s="477"/>
      <c r="O160" s="477"/>
      <c r="P160" s="460"/>
      <c r="Q160" s="460"/>
      <c r="R160" s="460"/>
      <c r="S160" s="460"/>
      <c r="T160" s="460"/>
      <c r="U160" s="460"/>
      <c r="V160" s="460"/>
      <c r="W160" s="460"/>
      <c r="X160" s="460"/>
      <c r="Y160" s="460"/>
      <c r="Z160" s="460"/>
    </row>
    <row r="161" spans="1:26" ht="15.75">
      <c r="A161" s="797"/>
      <c r="B161" s="77"/>
      <c r="C161" s="77"/>
      <c r="D161" s="77"/>
      <c r="E161" s="77"/>
      <c r="F161" s="77"/>
      <c r="G161" s="77"/>
      <c r="H161" s="86"/>
      <c r="I161" s="477"/>
      <c r="J161" s="477"/>
      <c r="K161" s="477"/>
      <c r="L161" s="477"/>
      <c r="M161" s="477"/>
      <c r="N161" s="477"/>
      <c r="O161" s="477"/>
      <c r="P161" s="460"/>
      <c r="Q161" s="460"/>
      <c r="R161" s="460"/>
      <c r="S161" s="460"/>
      <c r="T161" s="460"/>
      <c r="U161" s="460"/>
      <c r="V161" s="460"/>
      <c r="W161" s="460"/>
      <c r="X161" s="460"/>
      <c r="Y161" s="460"/>
      <c r="Z161" s="460"/>
    </row>
    <row r="162" spans="1:26" ht="15.75">
      <c r="A162" s="797"/>
      <c r="B162" s="77"/>
      <c r="C162" s="77"/>
      <c r="D162" s="77"/>
      <c r="E162" s="77"/>
      <c r="F162" s="77"/>
      <c r="G162" s="77"/>
      <c r="H162" s="86"/>
      <c r="I162" s="477"/>
      <c r="J162" s="477"/>
      <c r="K162" s="477"/>
      <c r="L162" s="477"/>
      <c r="M162" s="477"/>
      <c r="N162" s="477"/>
      <c r="O162" s="477"/>
      <c r="P162" s="460"/>
      <c r="Q162" s="460"/>
      <c r="R162" s="460"/>
      <c r="S162" s="460"/>
      <c r="T162" s="460"/>
      <c r="U162" s="460"/>
      <c r="V162" s="460"/>
      <c r="W162" s="460"/>
      <c r="X162" s="460"/>
      <c r="Y162" s="460"/>
      <c r="Z162" s="460"/>
    </row>
    <row r="163" spans="1:26" ht="15.75">
      <c r="A163" s="797"/>
      <c r="B163" s="77"/>
      <c r="C163" s="77"/>
      <c r="D163" s="77"/>
      <c r="E163" s="77"/>
      <c r="F163" s="77"/>
      <c r="G163" s="77"/>
      <c r="H163" s="86"/>
      <c r="I163" s="477"/>
      <c r="J163" s="477"/>
      <c r="K163" s="477"/>
      <c r="L163" s="477"/>
      <c r="M163" s="477"/>
      <c r="N163" s="477"/>
      <c r="O163" s="477"/>
      <c r="P163" s="460"/>
      <c r="Q163" s="460"/>
      <c r="R163" s="460"/>
      <c r="S163" s="460"/>
      <c r="T163" s="460"/>
      <c r="U163" s="460"/>
      <c r="V163" s="460"/>
      <c r="W163" s="460"/>
      <c r="X163" s="460"/>
      <c r="Y163" s="460"/>
      <c r="Z163" s="460"/>
    </row>
    <row r="164" spans="1:26" ht="15.75">
      <c r="A164" s="797"/>
      <c r="B164" s="77"/>
      <c r="C164" s="77"/>
      <c r="D164" s="77"/>
      <c r="E164" s="77"/>
      <c r="F164" s="77"/>
      <c r="G164" s="77"/>
      <c r="H164" s="86"/>
      <c r="I164" s="477"/>
      <c r="J164" s="477"/>
      <c r="K164" s="477"/>
      <c r="L164" s="477"/>
      <c r="M164" s="477"/>
      <c r="N164" s="477"/>
      <c r="O164" s="477"/>
      <c r="P164" s="460"/>
      <c r="Q164" s="460"/>
      <c r="R164" s="460"/>
      <c r="S164" s="460"/>
      <c r="T164" s="460"/>
      <c r="U164" s="460"/>
      <c r="V164" s="460"/>
      <c r="W164" s="460"/>
      <c r="X164" s="460"/>
      <c r="Y164" s="460"/>
      <c r="Z164" s="460"/>
    </row>
    <row r="165" spans="1:26" ht="15.75">
      <c r="A165" s="797"/>
      <c r="B165" s="77"/>
      <c r="C165" s="77"/>
      <c r="D165" s="77"/>
      <c r="E165" s="77"/>
      <c r="F165" s="77"/>
      <c r="G165" s="77"/>
      <c r="H165" s="86"/>
      <c r="I165" s="477"/>
      <c r="J165" s="477"/>
      <c r="K165" s="477"/>
      <c r="L165" s="477"/>
      <c r="M165" s="477"/>
      <c r="N165" s="477"/>
      <c r="O165" s="477"/>
      <c r="P165" s="460"/>
      <c r="Q165" s="460"/>
      <c r="R165" s="460"/>
      <c r="S165" s="460"/>
      <c r="T165" s="460"/>
      <c r="U165" s="460"/>
      <c r="V165" s="460"/>
      <c r="W165" s="460"/>
      <c r="X165" s="460"/>
      <c r="Y165" s="460"/>
      <c r="Z165" s="460"/>
    </row>
    <row r="166" spans="1:26" ht="15.75">
      <c r="A166" s="797"/>
      <c r="B166" s="77"/>
      <c r="C166" s="77"/>
      <c r="D166" s="77"/>
      <c r="E166" s="77"/>
      <c r="F166" s="77"/>
      <c r="G166" s="77"/>
      <c r="H166" s="86"/>
      <c r="I166" s="477"/>
      <c r="J166" s="477"/>
      <c r="K166" s="477"/>
      <c r="L166" s="477"/>
      <c r="M166" s="477"/>
      <c r="N166" s="477"/>
      <c r="O166" s="477"/>
      <c r="P166" s="460"/>
      <c r="Q166" s="460"/>
      <c r="R166" s="460"/>
      <c r="S166" s="460"/>
      <c r="T166" s="460"/>
      <c r="U166" s="460"/>
      <c r="V166" s="460"/>
      <c r="W166" s="460"/>
      <c r="X166" s="460"/>
      <c r="Y166" s="460"/>
      <c r="Z166" s="460"/>
    </row>
    <row r="167" spans="1:26" ht="15.75">
      <c r="A167" s="797"/>
      <c r="B167" s="77"/>
      <c r="C167" s="77"/>
      <c r="D167" s="77"/>
      <c r="E167" s="77"/>
      <c r="F167" s="77"/>
      <c r="G167" s="77"/>
      <c r="H167" s="86"/>
      <c r="I167" s="477"/>
      <c r="J167" s="477"/>
      <c r="K167" s="477"/>
      <c r="L167" s="477"/>
      <c r="M167" s="477"/>
      <c r="N167" s="477"/>
      <c r="O167" s="477"/>
      <c r="P167" s="460"/>
      <c r="Q167" s="460"/>
      <c r="R167" s="460"/>
      <c r="S167" s="460"/>
      <c r="T167" s="460"/>
      <c r="U167" s="460"/>
      <c r="V167" s="460"/>
      <c r="W167" s="460"/>
      <c r="X167" s="460"/>
      <c r="Y167" s="460"/>
      <c r="Z167" s="460"/>
    </row>
    <row r="168" spans="1:26" ht="15.75">
      <c r="A168" s="797"/>
      <c r="B168" s="77"/>
      <c r="C168" s="77"/>
      <c r="D168" s="77"/>
      <c r="E168" s="77"/>
      <c r="F168" s="77"/>
      <c r="G168" s="77"/>
      <c r="H168" s="86"/>
      <c r="I168" s="477"/>
      <c r="J168" s="477"/>
      <c r="K168" s="477"/>
      <c r="L168" s="477"/>
      <c r="M168" s="477"/>
      <c r="N168" s="477"/>
      <c r="O168" s="477"/>
      <c r="P168" s="460"/>
      <c r="Q168" s="460"/>
      <c r="R168" s="460"/>
      <c r="S168" s="460"/>
      <c r="T168" s="460"/>
      <c r="U168" s="460"/>
      <c r="V168" s="460"/>
      <c r="W168" s="460"/>
      <c r="X168" s="460"/>
      <c r="Y168" s="460"/>
      <c r="Z168" s="460"/>
    </row>
    <row r="169" spans="1:26" ht="15.75">
      <c r="A169" s="797"/>
      <c r="B169" s="77"/>
      <c r="C169" s="77"/>
      <c r="D169" s="77"/>
      <c r="E169" s="77"/>
      <c r="F169" s="77"/>
      <c r="G169" s="77"/>
      <c r="H169" s="86"/>
      <c r="I169" s="477"/>
      <c r="J169" s="477"/>
      <c r="K169" s="477"/>
      <c r="L169" s="477"/>
      <c r="M169" s="477"/>
      <c r="N169" s="477"/>
      <c r="O169" s="477"/>
      <c r="P169" s="460"/>
      <c r="Q169" s="460"/>
      <c r="R169" s="460"/>
      <c r="S169" s="460"/>
      <c r="T169" s="460"/>
      <c r="U169" s="460"/>
      <c r="V169" s="460"/>
      <c r="W169" s="460"/>
      <c r="X169" s="460"/>
      <c r="Y169" s="460"/>
      <c r="Z169" s="460"/>
    </row>
    <row r="170" spans="1:26" ht="15.75">
      <c r="A170" s="797"/>
      <c r="B170" s="77"/>
      <c r="C170" s="77"/>
      <c r="D170" s="77"/>
      <c r="E170" s="77"/>
      <c r="F170" s="77"/>
      <c r="G170" s="77"/>
      <c r="H170" s="86"/>
      <c r="I170" s="477"/>
      <c r="J170" s="477"/>
      <c r="K170" s="477"/>
      <c r="L170" s="477"/>
      <c r="M170" s="477"/>
      <c r="N170" s="477"/>
      <c r="O170" s="477"/>
      <c r="P170" s="460"/>
      <c r="Q170" s="460"/>
      <c r="R170" s="460"/>
      <c r="S170" s="460"/>
      <c r="T170" s="460"/>
      <c r="U170" s="460"/>
      <c r="V170" s="460"/>
      <c r="W170" s="460"/>
      <c r="X170" s="460"/>
      <c r="Y170" s="460"/>
      <c r="Z170" s="460"/>
    </row>
    <row r="171" spans="1:26" ht="15.75">
      <c r="A171" s="797"/>
      <c r="B171" s="77"/>
      <c r="C171" s="77"/>
      <c r="D171" s="77"/>
      <c r="E171" s="77"/>
      <c r="F171" s="77"/>
      <c r="G171" s="77"/>
      <c r="H171" s="86"/>
      <c r="I171" s="477"/>
      <c r="J171" s="477"/>
      <c r="K171" s="477"/>
      <c r="L171" s="477"/>
      <c r="M171" s="477"/>
      <c r="N171" s="477"/>
      <c r="O171" s="477"/>
      <c r="P171" s="460"/>
      <c r="Q171" s="460"/>
      <c r="R171" s="460"/>
      <c r="S171" s="460"/>
      <c r="T171" s="460"/>
      <c r="U171" s="460"/>
      <c r="V171" s="460"/>
      <c r="W171" s="460"/>
      <c r="X171" s="460"/>
      <c r="Y171" s="460"/>
      <c r="Z171" s="460"/>
    </row>
    <row r="172" spans="1:26" ht="15.75">
      <c r="A172" s="797"/>
      <c r="B172" s="77"/>
      <c r="C172" s="77"/>
      <c r="D172" s="77"/>
      <c r="E172" s="77"/>
      <c r="F172" s="77"/>
      <c r="G172" s="77"/>
      <c r="H172" s="86"/>
      <c r="I172" s="477"/>
      <c r="J172" s="477"/>
      <c r="K172" s="477"/>
      <c r="L172" s="477"/>
      <c r="M172" s="477"/>
      <c r="N172" s="477"/>
      <c r="O172" s="477"/>
      <c r="P172" s="460"/>
      <c r="Q172" s="460"/>
      <c r="R172" s="460"/>
      <c r="S172" s="460"/>
      <c r="T172" s="460"/>
      <c r="U172" s="460"/>
      <c r="V172" s="460"/>
      <c r="W172" s="460"/>
      <c r="X172" s="460"/>
      <c r="Y172" s="460"/>
      <c r="Z172" s="460"/>
    </row>
    <row r="173" spans="1:26" ht="15.75">
      <c r="A173" s="797"/>
      <c r="B173" s="77"/>
      <c r="C173" s="77"/>
      <c r="D173" s="77"/>
      <c r="E173" s="77"/>
      <c r="F173" s="77"/>
      <c r="G173" s="77"/>
      <c r="H173" s="86"/>
      <c r="I173" s="477"/>
      <c r="J173" s="477"/>
      <c r="K173" s="477"/>
      <c r="L173" s="477"/>
      <c r="M173" s="477"/>
      <c r="N173" s="477"/>
      <c r="O173" s="477"/>
      <c r="P173" s="460"/>
      <c r="Q173" s="460"/>
      <c r="R173" s="460"/>
      <c r="S173" s="460"/>
      <c r="T173" s="460"/>
      <c r="U173" s="460"/>
      <c r="V173" s="460"/>
      <c r="W173" s="460"/>
      <c r="X173" s="460"/>
      <c r="Y173" s="460"/>
      <c r="Z173" s="460"/>
    </row>
    <row r="174" spans="1:26" ht="15.75">
      <c r="A174" s="797"/>
      <c r="B174" s="77"/>
      <c r="C174" s="77"/>
      <c r="D174" s="77"/>
      <c r="E174" s="77"/>
      <c r="F174" s="77"/>
      <c r="G174" s="77"/>
      <c r="H174" s="86"/>
      <c r="I174" s="477"/>
      <c r="J174" s="477"/>
      <c r="K174" s="477"/>
      <c r="L174" s="477"/>
      <c r="M174" s="477"/>
      <c r="N174" s="477"/>
      <c r="O174" s="477"/>
      <c r="P174" s="460"/>
      <c r="Q174" s="460"/>
      <c r="R174" s="460"/>
      <c r="S174" s="460"/>
      <c r="T174" s="460"/>
      <c r="U174" s="460"/>
      <c r="V174" s="460"/>
      <c r="W174" s="460"/>
      <c r="X174" s="460"/>
      <c r="Y174" s="460"/>
      <c r="Z174" s="460"/>
    </row>
    <row r="175" spans="1:26" ht="15.75">
      <c r="A175" s="797"/>
      <c r="B175" s="77"/>
      <c r="C175" s="77"/>
      <c r="D175" s="77"/>
      <c r="E175" s="77"/>
      <c r="F175" s="77"/>
      <c r="G175" s="77"/>
      <c r="H175" s="86"/>
      <c r="I175" s="477"/>
      <c r="J175" s="477"/>
      <c r="K175" s="477"/>
      <c r="L175" s="477"/>
      <c r="M175" s="477"/>
      <c r="N175" s="477"/>
      <c r="O175" s="477"/>
      <c r="P175" s="460"/>
      <c r="Q175" s="460"/>
      <c r="R175" s="460"/>
      <c r="S175" s="460"/>
      <c r="T175" s="460"/>
      <c r="U175" s="460"/>
      <c r="V175" s="460"/>
      <c r="W175" s="460"/>
      <c r="X175" s="460"/>
      <c r="Y175" s="460"/>
      <c r="Z175" s="460"/>
    </row>
    <row r="176" spans="1:26" ht="15.75">
      <c r="A176" s="797"/>
      <c r="B176" s="77"/>
      <c r="C176" s="77"/>
      <c r="D176" s="77"/>
      <c r="E176" s="77"/>
      <c r="F176" s="77"/>
      <c r="G176" s="77"/>
      <c r="H176" s="86"/>
      <c r="I176" s="477"/>
      <c r="J176" s="477"/>
      <c r="K176" s="477"/>
      <c r="L176" s="477"/>
      <c r="M176" s="477"/>
      <c r="N176" s="477"/>
      <c r="O176" s="477"/>
      <c r="P176" s="460"/>
      <c r="Q176" s="460"/>
      <c r="R176" s="460"/>
      <c r="S176" s="460"/>
      <c r="T176" s="460"/>
      <c r="U176" s="460"/>
      <c r="V176" s="460"/>
      <c r="W176" s="460"/>
      <c r="X176" s="460"/>
      <c r="Y176" s="460"/>
      <c r="Z176" s="460"/>
    </row>
    <row r="177" spans="1:26" ht="15.75">
      <c r="A177" s="797"/>
      <c r="B177" s="77"/>
      <c r="C177" s="77"/>
      <c r="D177" s="77"/>
      <c r="E177" s="77"/>
      <c r="F177" s="77"/>
      <c r="G177" s="77"/>
      <c r="H177" s="86"/>
      <c r="I177" s="477"/>
      <c r="J177" s="477"/>
      <c r="K177" s="477"/>
      <c r="L177" s="477"/>
      <c r="M177" s="477"/>
      <c r="N177" s="477"/>
      <c r="O177" s="477"/>
      <c r="P177" s="460"/>
      <c r="Q177" s="460"/>
      <c r="R177" s="460"/>
      <c r="S177" s="460"/>
      <c r="T177" s="460"/>
      <c r="U177" s="460"/>
      <c r="V177" s="460"/>
      <c r="W177" s="460"/>
      <c r="X177" s="460"/>
      <c r="Y177" s="460"/>
      <c r="Z177" s="460"/>
    </row>
    <row r="178" spans="1:26" ht="15.75">
      <c r="A178" s="797"/>
      <c r="B178" s="77"/>
      <c r="C178" s="77"/>
      <c r="D178" s="77"/>
      <c r="E178" s="77"/>
      <c r="F178" s="77"/>
      <c r="G178" s="77"/>
      <c r="H178" s="86"/>
      <c r="I178" s="477"/>
      <c r="J178" s="477"/>
      <c r="K178" s="477"/>
      <c r="L178" s="477"/>
      <c r="M178" s="477"/>
      <c r="N178" s="477"/>
      <c r="O178" s="477"/>
      <c r="P178" s="460"/>
      <c r="Q178" s="460"/>
      <c r="R178" s="460"/>
      <c r="S178" s="460"/>
      <c r="T178" s="460"/>
      <c r="U178" s="460"/>
      <c r="V178" s="460"/>
      <c r="W178" s="460"/>
      <c r="X178" s="460"/>
      <c r="Y178" s="460"/>
      <c r="Z178" s="460"/>
    </row>
    <row r="179" spans="1:26" ht="15.75">
      <c r="A179" s="797"/>
      <c r="B179" s="77"/>
      <c r="C179" s="77"/>
      <c r="D179" s="77"/>
      <c r="E179" s="77"/>
      <c r="F179" s="77"/>
      <c r="G179" s="77"/>
      <c r="H179" s="86"/>
      <c r="I179" s="477"/>
      <c r="J179" s="477"/>
      <c r="K179" s="477"/>
      <c r="L179" s="477"/>
      <c r="M179" s="477"/>
      <c r="N179" s="477"/>
      <c r="O179" s="477"/>
      <c r="P179" s="460"/>
      <c r="Q179" s="460"/>
      <c r="R179" s="460"/>
      <c r="S179" s="460"/>
      <c r="T179" s="460"/>
      <c r="U179" s="460"/>
      <c r="V179" s="460"/>
      <c r="W179" s="460"/>
      <c r="X179" s="460"/>
      <c r="Y179" s="460"/>
      <c r="Z179" s="460"/>
    </row>
    <row r="180" spans="1:26" ht="15.75">
      <c r="A180" s="797"/>
      <c r="B180" s="77"/>
      <c r="C180" s="77"/>
      <c r="D180" s="77"/>
      <c r="E180" s="77"/>
      <c r="F180" s="77"/>
      <c r="G180" s="77"/>
      <c r="H180" s="86"/>
      <c r="I180" s="477"/>
      <c r="J180" s="477"/>
      <c r="K180" s="477"/>
      <c r="L180" s="477"/>
      <c r="M180" s="477"/>
      <c r="N180" s="477"/>
      <c r="O180" s="477"/>
      <c r="P180" s="460"/>
      <c r="Q180" s="460"/>
      <c r="R180" s="460"/>
      <c r="S180" s="460"/>
      <c r="T180" s="460"/>
      <c r="U180" s="460"/>
      <c r="V180" s="460"/>
      <c r="W180" s="460"/>
      <c r="X180" s="460"/>
      <c r="Y180" s="460"/>
      <c r="Z180" s="460"/>
    </row>
    <row r="181" spans="1:26" ht="15.75">
      <c r="A181" s="797"/>
      <c r="B181" s="77"/>
      <c r="C181" s="77"/>
      <c r="D181" s="77"/>
      <c r="E181" s="77"/>
      <c r="F181" s="77"/>
      <c r="G181" s="77"/>
      <c r="H181" s="86"/>
      <c r="I181" s="477"/>
      <c r="J181" s="477"/>
      <c r="K181" s="477"/>
      <c r="L181" s="477"/>
      <c r="M181" s="477"/>
      <c r="N181" s="477"/>
      <c r="O181" s="477"/>
      <c r="P181" s="460"/>
      <c r="Q181" s="460"/>
      <c r="R181" s="460"/>
      <c r="S181" s="460"/>
      <c r="T181" s="460"/>
      <c r="U181" s="460"/>
      <c r="V181" s="460"/>
      <c r="W181" s="460"/>
      <c r="X181" s="460"/>
      <c r="Y181" s="460"/>
      <c r="Z181" s="460"/>
    </row>
    <row r="182" spans="1:26" ht="15.75">
      <c r="A182" s="797"/>
      <c r="B182" s="77"/>
      <c r="C182" s="77"/>
      <c r="D182" s="77"/>
      <c r="E182" s="77"/>
      <c r="F182" s="77"/>
      <c r="G182" s="77"/>
      <c r="H182" s="86"/>
      <c r="I182" s="477"/>
      <c r="J182" s="477"/>
      <c r="K182" s="477"/>
      <c r="L182" s="477"/>
      <c r="M182" s="477"/>
      <c r="N182" s="477"/>
      <c r="O182" s="477"/>
      <c r="P182" s="460"/>
      <c r="Q182" s="460"/>
      <c r="R182" s="460"/>
      <c r="S182" s="460"/>
      <c r="T182" s="460"/>
      <c r="U182" s="460"/>
      <c r="V182" s="460"/>
      <c r="W182" s="460"/>
      <c r="X182" s="460"/>
      <c r="Y182" s="460"/>
      <c r="Z182" s="460"/>
    </row>
    <row r="183" spans="1:26" ht="15.75">
      <c r="A183" s="797"/>
      <c r="B183" s="77"/>
      <c r="C183" s="77"/>
      <c r="D183" s="77"/>
      <c r="E183" s="77"/>
      <c r="F183" s="77"/>
      <c r="G183" s="77"/>
      <c r="H183" s="86"/>
      <c r="I183" s="477"/>
      <c r="J183" s="477"/>
      <c r="K183" s="477"/>
      <c r="L183" s="477"/>
      <c r="M183" s="477"/>
      <c r="N183" s="477"/>
      <c r="O183" s="477"/>
      <c r="P183" s="460"/>
      <c r="Q183" s="460"/>
      <c r="R183" s="460"/>
      <c r="S183" s="460"/>
      <c r="T183" s="460"/>
      <c r="U183" s="460"/>
      <c r="V183" s="460"/>
      <c r="W183" s="460"/>
      <c r="X183" s="460"/>
      <c r="Y183" s="460"/>
      <c r="Z183" s="460"/>
    </row>
    <row r="184" spans="1:26" ht="15.75">
      <c r="A184" s="797"/>
      <c r="B184" s="77"/>
      <c r="C184" s="77"/>
      <c r="D184" s="77"/>
      <c r="E184" s="77"/>
      <c r="F184" s="77"/>
      <c r="G184" s="77"/>
      <c r="H184" s="86"/>
      <c r="I184" s="477"/>
      <c r="J184" s="477"/>
      <c r="K184" s="477"/>
      <c r="L184" s="477"/>
      <c r="M184" s="477"/>
      <c r="N184" s="477"/>
      <c r="O184" s="477"/>
      <c r="P184" s="460"/>
      <c r="Q184" s="460"/>
      <c r="R184" s="460"/>
      <c r="S184" s="460"/>
      <c r="T184" s="460"/>
      <c r="U184" s="460"/>
      <c r="V184" s="460"/>
      <c r="W184" s="460"/>
      <c r="X184" s="460"/>
      <c r="Y184" s="460"/>
      <c r="Z184" s="460"/>
    </row>
    <row r="185" spans="1:26" ht="15.75">
      <c r="A185" s="797"/>
      <c r="B185" s="77"/>
      <c r="C185" s="77"/>
      <c r="D185" s="77"/>
      <c r="E185" s="77"/>
      <c r="F185" s="77"/>
      <c r="G185" s="77"/>
      <c r="H185" s="86"/>
      <c r="I185" s="477"/>
      <c r="J185" s="477"/>
      <c r="K185" s="477"/>
      <c r="L185" s="477"/>
      <c r="M185" s="477"/>
      <c r="N185" s="477"/>
      <c r="O185" s="477"/>
      <c r="P185" s="460"/>
      <c r="Q185" s="460"/>
      <c r="R185" s="460"/>
      <c r="S185" s="460"/>
      <c r="T185" s="460"/>
      <c r="U185" s="460"/>
      <c r="V185" s="460"/>
      <c r="W185" s="460"/>
      <c r="X185" s="460"/>
      <c r="Y185" s="460"/>
      <c r="Z185" s="460"/>
    </row>
    <row r="186" spans="1:26" ht="15.75">
      <c r="A186" s="797"/>
      <c r="B186" s="77"/>
      <c r="C186" s="77"/>
      <c r="D186" s="77"/>
      <c r="E186" s="77"/>
      <c r="F186" s="77"/>
      <c r="G186" s="77"/>
      <c r="H186" s="86"/>
      <c r="I186" s="477"/>
      <c r="J186" s="477"/>
      <c r="K186" s="477"/>
      <c r="L186" s="477"/>
      <c r="M186" s="477"/>
      <c r="N186" s="477"/>
      <c r="O186" s="477"/>
      <c r="P186" s="460"/>
      <c r="Q186" s="460"/>
      <c r="R186" s="460"/>
      <c r="S186" s="460"/>
      <c r="T186" s="460"/>
      <c r="U186" s="460"/>
      <c r="V186" s="460"/>
      <c r="W186" s="460"/>
      <c r="X186" s="460"/>
      <c r="Y186" s="460"/>
      <c r="Z186" s="460"/>
    </row>
    <row r="187" spans="1:26" ht="15.75">
      <c r="A187" s="797"/>
      <c r="B187" s="77"/>
      <c r="C187" s="77"/>
      <c r="D187" s="77"/>
      <c r="E187" s="77"/>
      <c r="F187" s="77"/>
      <c r="G187" s="77"/>
      <c r="H187" s="86"/>
      <c r="I187" s="477"/>
      <c r="J187" s="477"/>
      <c r="K187" s="477"/>
      <c r="L187" s="477"/>
      <c r="M187" s="477"/>
      <c r="N187" s="477"/>
      <c r="O187" s="477"/>
      <c r="P187" s="460"/>
      <c r="Q187" s="460"/>
      <c r="R187" s="460"/>
      <c r="S187" s="460"/>
      <c r="T187" s="460"/>
      <c r="U187" s="460"/>
      <c r="V187" s="460"/>
      <c r="W187" s="460"/>
      <c r="X187" s="460"/>
      <c r="Y187" s="460"/>
      <c r="Z187" s="460"/>
    </row>
    <row r="188" spans="1:26" ht="15.75">
      <c r="A188" s="797"/>
      <c r="B188" s="77"/>
      <c r="C188" s="77"/>
      <c r="D188" s="77"/>
      <c r="E188" s="77"/>
      <c r="F188" s="77"/>
      <c r="G188" s="77"/>
      <c r="H188" s="86"/>
      <c r="I188" s="477"/>
      <c r="J188" s="477"/>
      <c r="K188" s="477"/>
      <c r="L188" s="477"/>
      <c r="M188" s="477"/>
      <c r="N188" s="477"/>
      <c r="O188" s="477"/>
      <c r="P188" s="460"/>
      <c r="Q188" s="460"/>
      <c r="R188" s="460"/>
      <c r="S188" s="460"/>
      <c r="T188" s="460"/>
      <c r="U188" s="460"/>
      <c r="V188" s="460"/>
      <c r="W188" s="460"/>
      <c r="X188" s="460"/>
      <c r="Y188" s="460"/>
      <c r="Z188" s="460"/>
    </row>
    <row r="189" spans="1:26" ht="15.75">
      <c r="A189" s="797"/>
      <c r="B189" s="77"/>
      <c r="C189" s="77"/>
      <c r="D189" s="77"/>
      <c r="E189" s="77"/>
      <c r="F189" s="77"/>
      <c r="G189" s="77"/>
      <c r="H189" s="86"/>
      <c r="I189" s="477"/>
      <c r="J189" s="477"/>
      <c r="K189" s="477"/>
      <c r="L189" s="477"/>
      <c r="M189" s="477"/>
      <c r="N189" s="477"/>
      <c r="O189" s="477"/>
      <c r="P189" s="460"/>
      <c r="Q189" s="460"/>
      <c r="R189" s="460"/>
      <c r="S189" s="460"/>
      <c r="T189" s="460"/>
      <c r="U189" s="460"/>
      <c r="V189" s="460"/>
      <c r="W189" s="460"/>
      <c r="X189" s="460"/>
      <c r="Y189" s="460"/>
      <c r="Z189" s="460"/>
    </row>
    <row r="190" spans="1:26" ht="15.75">
      <c r="A190" s="797"/>
      <c r="B190" s="77"/>
      <c r="C190" s="77"/>
      <c r="D190" s="77"/>
      <c r="E190" s="77"/>
      <c r="F190" s="77"/>
      <c r="G190" s="77"/>
      <c r="H190" s="86"/>
      <c r="I190" s="477"/>
      <c r="J190" s="477"/>
      <c r="K190" s="477"/>
      <c r="L190" s="477"/>
      <c r="M190" s="477"/>
      <c r="N190" s="477"/>
      <c r="O190" s="477"/>
      <c r="P190" s="460"/>
      <c r="Q190" s="460"/>
      <c r="R190" s="460"/>
      <c r="S190" s="460"/>
      <c r="T190" s="460"/>
      <c r="U190" s="460"/>
      <c r="V190" s="460"/>
      <c r="W190" s="460"/>
      <c r="X190" s="460"/>
      <c r="Y190" s="460"/>
      <c r="Z190" s="460"/>
    </row>
    <row r="191" spans="1:26" ht="15.75">
      <c r="A191" s="797"/>
      <c r="B191" s="77"/>
      <c r="C191" s="77"/>
      <c r="D191" s="77"/>
      <c r="E191" s="77"/>
      <c r="F191" s="77"/>
      <c r="G191" s="77"/>
      <c r="H191" s="86"/>
      <c r="I191" s="477"/>
      <c r="J191" s="477"/>
      <c r="K191" s="477"/>
      <c r="L191" s="477"/>
      <c r="M191" s="477"/>
      <c r="N191" s="477"/>
      <c r="O191" s="477"/>
      <c r="P191" s="460"/>
      <c r="Q191" s="460"/>
      <c r="R191" s="460"/>
      <c r="S191" s="460"/>
      <c r="T191" s="460"/>
      <c r="U191" s="460"/>
      <c r="V191" s="460"/>
      <c r="W191" s="460"/>
      <c r="X191" s="460"/>
      <c r="Y191" s="460"/>
      <c r="Z191" s="460"/>
    </row>
    <row r="192" spans="1:26" ht="15.75">
      <c r="A192" s="797"/>
      <c r="B192" s="77"/>
      <c r="C192" s="77"/>
      <c r="D192" s="77"/>
      <c r="E192" s="77"/>
      <c r="F192" s="77"/>
      <c r="G192" s="77"/>
      <c r="H192" s="86"/>
      <c r="I192" s="477"/>
      <c r="J192" s="477"/>
      <c r="K192" s="477"/>
      <c r="L192" s="477"/>
      <c r="M192" s="477"/>
      <c r="N192" s="477"/>
      <c r="O192" s="477"/>
      <c r="P192" s="460"/>
      <c r="Q192" s="460"/>
      <c r="R192" s="460"/>
      <c r="S192" s="460"/>
      <c r="T192" s="460"/>
      <c r="U192" s="460"/>
      <c r="V192" s="460"/>
      <c r="W192" s="460"/>
      <c r="X192" s="460"/>
      <c r="Y192" s="460"/>
      <c r="Z192" s="460"/>
    </row>
    <row r="193" spans="1:26" ht="15.75">
      <c r="A193" s="797"/>
      <c r="B193" s="77"/>
      <c r="C193" s="77"/>
      <c r="D193" s="77"/>
      <c r="E193" s="77"/>
      <c r="F193" s="77"/>
      <c r="G193" s="77"/>
      <c r="H193" s="86"/>
      <c r="I193" s="477"/>
      <c r="J193" s="477"/>
      <c r="K193" s="477"/>
      <c r="L193" s="477"/>
      <c r="M193" s="477"/>
      <c r="N193" s="477"/>
      <c r="O193" s="477"/>
      <c r="P193" s="460"/>
      <c r="Q193" s="460"/>
      <c r="R193" s="460"/>
      <c r="S193" s="460"/>
      <c r="T193" s="460"/>
      <c r="U193" s="460"/>
      <c r="V193" s="460"/>
      <c r="W193" s="460"/>
      <c r="X193" s="460"/>
      <c r="Y193" s="460"/>
      <c r="Z193" s="460"/>
    </row>
    <row r="194" spans="1:26" ht="15.75">
      <c r="A194" s="797"/>
      <c r="B194" s="77"/>
      <c r="C194" s="77"/>
      <c r="D194" s="77"/>
      <c r="E194" s="77"/>
      <c r="F194" s="77"/>
      <c r="G194" s="77"/>
      <c r="H194" s="86"/>
      <c r="I194" s="477"/>
      <c r="J194" s="477"/>
      <c r="K194" s="477"/>
      <c r="L194" s="477"/>
      <c r="M194" s="477"/>
      <c r="N194" s="477"/>
      <c r="O194" s="477"/>
      <c r="P194" s="460"/>
      <c r="Q194" s="460"/>
      <c r="R194" s="460"/>
      <c r="S194" s="460"/>
      <c r="T194" s="460"/>
      <c r="U194" s="460"/>
      <c r="V194" s="460"/>
      <c r="W194" s="460"/>
      <c r="X194" s="460"/>
      <c r="Y194" s="460"/>
      <c r="Z194" s="460"/>
    </row>
    <row r="195" spans="1:26" ht="15.75">
      <c r="A195" s="797"/>
      <c r="B195" s="77"/>
      <c r="C195" s="77"/>
      <c r="D195" s="77"/>
      <c r="E195" s="77"/>
      <c r="F195" s="77"/>
      <c r="G195" s="77"/>
      <c r="H195" s="86"/>
      <c r="I195" s="477"/>
      <c r="J195" s="477"/>
      <c r="K195" s="477"/>
      <c r="L195" s="477"/>
      <c r="M195" s="477"/>
      <c r="N195" s="477"/>
      <c r="O195" s="477"/>
      <c r="P195" s="460"/>
      <c r="Q195" s="460"/>
      <c r="R195" s="460"/>
      <c r="S195" s="460"/>
      <c r="T195" s="460"/>
      <c r="U195" s="460"/>
      <c r="V195" s="460"/>
      <c r="W195" s="460"/>
      <c r="X195" s="460"/>
      <c r="Y195" s="460"/>
      <c r="Z195" s="460"/>
    </row>
    <row r="196" spans="1:26" ht="15.75">
      <c r="A196" s="797"/>
      <c r="B196" s="77"/>
      <c r="C196" s="77"/>
      <c r="D196" s="77"/>
      <c r="E196" s="77"/>
      <c r="F196" s="77"/>
      <c r="G196" s="77"/>
      <c r="H196" s="86"/>
      <c r="I196" s="477"/>
      <c r="J196" s="477"/>
      <c r="K196" s="477"/>
      <c r="L196" s="477"/>
      <c r="M196" s="477"/>
      <c r="N196" s="477"/>
      <c r="O196" s="477"/>
      <c r="P196" s="460"/>
      <c r="Q196" s="460"/>
      <c r="R196" s="460"/>
      <c r="S196" s="460"/>
      <c r="T196" s="460"/>
      <c r="U196" s="460"/>
      <c r="V196" s="460"/>
      <c r="W196" s="460"/>
      <c r="X196" s="460"/>
      <c r="Y196" s="460"/>
      <c r="Z196" s="460"/>
    </row>
    <row r="197" spans="1:26" ht="15.75">
      <c r="A197" s="797"/>
      <c r="B197" s="77"/>
      <c r="C197" s="77"/>
      <c r="D197" s="77"/>
      <c r="E197" s="77"/>
      <c r="F197" s="77"/>
      <c r="G197" s="77"/>
      <c r="H197" s="86"/>
      <c r="I197" s="477"/>
      <c r="J197" s="477"/>
      <c r="K197" s="477"/>
      <c r="L197" s="477"/>
      <c r="M197" s="477"/>
      <c r="N197" s="477"/>
      <c r="O197" s="477"/>
      <c r="P197" s="460"/>
      <c r="Q197" s="460"/>
      <c r="R197" s="460"/>
      <c r="S197" s="460"/>
      <c r="T197" s="460"/>
      <c r="U197" s="460"/>
      <c r="V197" s="460"/>
      <c r="W197" s="460"/>
      <c r="X197" s="460"/>
      <c r="Y197" s="460"/>
      <c r="Z197" s="460"/>
    </row>
    <row r="198" spans="1:26" ht="15.75">
      <c r="A198" s="797"/>
      <c r="B198" s="77"/>
      <c r="C198" s="77"/>
      <c r="D198" s="77"/>
      <c r="E198" s="77"/>
      <c r="F198" s="77"/>
      <c r="G198" s="77"/>
      <c r="H198" s="86"/>
      <c r="I198" s="477"/>
      <c r="J198" s="477"/>
      <c r="K198" s="477"/>
      <c r="L198" s="477"/>
      <c r="M198" s="477"/>
      <c r="N198" s="477"/>
      <c r="O198" s="477"/>
      <c r="P198" s="460"/>
      <c r="Q198" s="460"/>
      <c r="R198" s="460"/>
      <c r="S198" s="460"/>
      <c r="T198" s="460"/>
      <c r="U198" s="460"/>
      <c r="V198" s="460"/>
      <c r="W198" s="460"/>
      <c r="X198" s="460"/>
      <c r="Y198" s="460"/>
      <c r="Z198" s="460"/>
    </row>
    <row r="199" spans="1:26" ht="15.75">
      <c r="A199" s="797"/>
      <c r="B199" s="77"/>
      <c r="C199" s="77"/>
      <c r="D199" s="77"/>
      <c r="E199" s="77"/>
      <c r="F199" s="77"/>
      <c r="G199" s="77"/>
      <c r="H199" s="86"/>
      <c r="I199" s="477"/>
      <c r="J199" s="477"/>
      <c r="K199" s="477"/>
      <c r="L199" s="477"/>
      <c r="M199" s="477"/>
      <c r="N199" s="477"/>
      <c r="O199" s="477"/>
      <c r="P199" s="460"/>
      <c r="Q199" s="460"/>
      <c r="R199" s="460"/>
      <c r="S199" s="460"/>
      <c r="T199" s="460"/>
      <c r="U199" s="460"/>
      <c r="V199" s="460"/>
      <c r="W199" s="460"/>
      <c r="X199" s="460"/>
      <c r="Y199" s="460"/>
      <c r="Z199" s="460"/>
    </row>
    <row r="200" spans="1:26" ht="15.75">
      <c r="A200" s="797"/>
      <c r="B200" s="77"/>
      <c r="C200" s="77"/>
      <c r="D200" s="77"/>
      <c r="E200" s="77"/>
      <c r="F200" s="77"/>
      <c r="G200" s="77"/>
      <c r="H200" s="86"/>
      <c r="I200" s="477"/>
      <c r="J200" s="477"/>
      <c r="K200" s="477"/>
      <c r="L200" s="477"/>
      <c r="M200" s="477"/>
      <c r="N200" s="477"/>
      <c r="O200" s="477"/>
      <c r="P200" s="460"/>
      <c r="Q200" s="460"/>
      <c r="R200" s="460"/>
      <c r="S200" s="460"/>
      <c r="T200" s="460"/>
      <c r="U200" s="460"/>
      <c r="V200" s="460"/>
      <c r="W200" s="460"/>
      <c r="X200" s="460"/>
      <c r="Y200" s="460"/>
      <c r="Z200" s="460"/>
    </row>
    <row r="201" spans="1:26" ht="15.75">
      <c r="A201" s="797"/>
      <c r="B201" s="77"/>
      <c r="C201" s="77"/>
      <c r="D201" s="77"/>
      <c r="E201" s="77"/>
      <c r="F201" s="77"/>
      <c r="G201" s="77"/>
      <c r="H201" s="86"/>
      <c r="I201" s="477"/>
      <c r="J201" s="477"/>
      <c r="K201" s="477"/>
      <c r="L201" s="477"/>
      <c r="M201" s="477"/>
      <c r="N201" s="477"/>
      <c r="O201" s="477"/>
      <c r="P201" s="460"/>
      <c r="Q201" s="460"/>
      <c r="R201" s="460"/>
      <c r="S201" s="460"/>
      <c r="T201" s="460"/>
      <c r="U201" s="460"/>
      <c r="V201" s="460"/>
      <c r="W201" s="460"/>
      <c r="X201" s="460"/>
      <c r="Y201" s="460"/>
      <c r="Z201" s="460"/>
    </row>
    <row r="202" spans="1:26" ht="15.75">
      <c r="A202" s="797"/>
      <c r="B202" s="77"/>
      <c r="C202" s="77"/>
      <c r="D202" s="77"/>
      <c r="E202" s="77"/>
      <c r="F202" s="77"/>
      <c r="G202" s="77"/>
      <c r="H202" s="86"/>
      <c r="I202" s="477"/>
      <c r="J202" s="477"/>
      <c r="K202" s="477"/>
      <c r="L202" s="477"/>
      <c r="M202" s="477"/>
      <c r="N202" s="477"/>
      <c r="O202" s="477"/>
      <c r="P202" s="460"/>
      <c r="Q202" s="460"/>
      <c r="R202" s="460"/>
      <c r="S202" s="460"/>
      <c r="T202" s="460"/>
      <c r="U202" s="460"/>
      <c r="V202" s="460"/>
      <c r="W202" s="460"/>
      <c r="X202" s="460"/>
      <c r="Y202" s="460"/>
      <c r="Z202" s="460"/>
    </row>
    <row r="203" spans="1:26" ht="15.75">
      <c r="A203" s="797"/>
      <c r="B203" s="77"/>
      <c r="C203" s="77"/>
      <c r="D203" s="77"/>
      <c r="E203" s="77"/>
      <c r="F203" s="77"/>
      <c r="G203" s="77"/>
      <c r="H203" s="86"/>
      <c r="I203" s="477"/>
      <c r="J203" s="477"/>
      <c r="K203" s="477"/>
      <c r="L203" s="477"/>
      <c r="M203" s="477"/>
      <c r="N203" s="477"/>
      <c r="O203" s="477"/>
      <c r="P203" s="460"/>
      <c r="Q203" s="460"/>
      <c r="R203" s="460"/>
      <c r="S203" s="460"/>
      <c r="T203" s="460"/>
      <c r="U203" s="460"/>
      <c r="V203" s="460"/>
      <c r="W203" s="460"/>
      <c r="X203" s="460"/>
      <c r="Y203" s="460"/>
      <c r="Z203" s="460"/>
    </row>
    <row r="204" spans="1:26" ht="15.75">
      <c r="A204" s="797"/>
      <c r="B204" s="77"/>
      <c r="C204" s="77"/>
      <c r="D204" s="77"/>
      <c r="E204" s="77"/>
      <c r="F204" s="77"/>
      <c r="G204" s="77"/>
      <c r="H204" s="86"/>
      <c r="I204" s="477"/>
      <c r="J204" s="477"/>
      <c r="K204" s="477"/>
      <c r="L204" s="477"/>
      <c r="M204" s="477"/>
      <c r="N204" s="477"/>
      <c r="O204" s="477"/>
      <c r="P204" s="460"/>
      <c r="Q204" s="460"/>
      <c r="R204" s="460"/>
      <c r="S204" s="460"/>
      <c r="T204" s="460"/>
      <c r="U204" s="460"/>
      <c r="V204" s="460"/>
      <c r="W204" s="460"/>
      <c r="X204" s="460"/>
      <c r="Y204" s="460"/>
      <c r="Z204" s="460"/>
    </row>
    <row r="205" spans="1:26" ht="15.75">
      <c r="A205" s="797"/>
      <c r="B205" s="77"/>
      <c r="C205" s="77"/>
      <c r="D205" s="77"/>
      <c r="E205" s="77"/>
      <c r="F205" s="77"/>
      <c r="G205" s="77"/>
      <c r="H205" s="86"/>
      <c r="I205" s="477"/>
      <c r="J205" s="477"/>
      <c r="K205" s="477"/>
      <c r="L205" s="477"/>
      <c r="M205" s="477"/>
      <c r="N205" s="477"/>
      <c r="O205" s="477"/>
      <c r="P205" s="460"/>
      <c r="Q205" s="460"/>
      <c r="R205" s="460"/>
      <c r="S205" s="460"/>
      <c r="T205" s="460"/>
      <c r="U205" s="460"/>
      <c r="V205" s="460"/>
      <c r="W205" s="460"/>
      <c r="X205" s="460"/>
      <c r="Y205" s="460"/>
      <c r="Z205" s="460"/>
    </row>
    <row r="206" spans="1:26" ht="15.75">
      <c r="A206" s="797"/>
      <c r="B206" s="77"/>
      <c r="C206" s="77"/>
      <c r="D206" s="77"/>
      <c r="E206" s="77"/>
      <c r="F206" s="77"/>
      <c r="G206" s="77"/>
      <c r="H206" s="86"/>
      <c r="I206" s="477"/>
      <c r="J206" s="477"/>
      <c r="K206" s="477"/>
      <c r="L206" s="477"/>
      <c r="M206" s="477"/>
      <c r="N206" s="477"/>
      <c r="O206" s="477"/>
      <c r="P206" s="460"/>
      <c r="Q206" s="460"/>
      <c r="R206" s="460"/>
      <c r="S206" s="460"/>
      <c r="T206" s="460"/>
      <c r="U206" s="460"/>
      <c r="V206" s="460"/>
      <c r="W206" s="460"/>
      <c r="X206" s="460"/>
      <c r="Y206" s="460"/>
      <c r="Z206" s="460"/>
    </row>
    <row r="207" spans="1:26" ht="15.75">
      <c r="A207" s="797"/>
      <c r="B207" s="77"/>
      <c r="C207" s="77"/>
      <c r="D207" s="77"/>
      <c r="E207" s="77"/>
      <c r="F207" s="77"/>
      <c r="G207" s="77"/>
      <c r="H207" s="86"/>
      <c r="I207" s="477"/>
      <c r="J207" s="477"/>
      <c r="K207" s="477"/>
      <c r="L207" s="477"/>
      <c r="M207" s="477"/>
      <c r="N207" s="477"/>
      <c r="O207" s="477"/>
      <c r="P207" s="460"/>
      <c r="Q207" s="460"/>
      <c r="R207" s="460"/>
      <c r="S207" s="460"/>
      <c r="T207" s="460"/>
      <c r="U207" s="460"/>
      <c r="V207" s="460"/>
      <c r="W207" s="460"/>
      <c r="X207" s="460"/>
      <c r="Y207" s="460"/>
      <c r="Z207" s="460"/>
    </row>
    <row r="208" spans="1:26" ht="15.75">
      <c r="A208" s="797"/>
      <c r="B208" s="77"/>
      <c r="C208" s="77"/>
      <c r="D208" s="77"/>
      <c r="E208" s="77"/>
      <c r="F208" s="77"/>
      <c r="G208" s="77"/>
      <c r="H208" s="86"/>
      <c r="I208" s="477"/>
      <c r="J208" s="477"/>
      <c r="K208" s="477"/>
      <c r="L208" s="477"/>
      <c r="M208" s="477"/>
      <c r="N208" s="477"/>
      <c r="O208" s="477"/>
      <c r="P208" s="460"/>
      <c r="Q208" s="460"/>
      <c r="R208" s="460"/>
      <c r="S208" s="460"/>
      <c r="T208" s="460"/>
      <c r="U208" s="460"/>
      <c r="V208" s="460"/>
      <c r="W208" s="460"/>
      <c r="X208" s="460"/>
      <c r="Y208" s="460"/>
      <c r="Z208" s="460"/>
    </row>
    <row r="209" spans="1:26" ht="15.75">
      <c r="A209" s="797"/>
      <c r="B209" s="77"/>
      <c r="C209" s="77"/>
      <c r="D209" s="77"/>
      <c r="E209" s="77"/>
      <c r="F209" s="77"/>
      <c r="G209" s="77"/>
      <c r="H209" s="86"/>
      <c r="I209" s="477"/>
      <c r="J209" s="477"/>
      <c r="K209" s="477"/>
      <c r="L209" s="477"/>
      <c r="M209" s="477"/>
      <c r="N209" s="477"/>
      <c r="O209" s="477"/>
      <c r="P209" s="460"/>
      <c r="Q209" s="460"/>
      <c r="R209" s="460"/>
      <c r="S209" s="460"/>
      <c r="T209" s="460"/>
      <c r="U209" s="460"/>
      <c r="V209" s="460"/>
      <c r="W209" s="460"/>
      <c r="X209" s="460"/>
      <c r="Y209" s="460"/>
      <c r="Z209" s="460"/>
    </row>
    <row r="210" spans="1:26" ht="15.75">
      <c r="A210" s="797"/>
      <c r="B210" s="77"/>
      <c r="C210" s="77"/>
      <c r="D210" s="77"/>
      <c r="E210" s="77"/>
      <c r="F210" s="77"/>
      <c r="G210" s="77"/>
      <c r="H210" s="86"/>
      <c r="I210" s="477"/>
      <c r="J210" s="477"/>
      <c r="K210" s="477"/>
      <c r="L210" s="477"/>
      <c r="M210" s="477"/>
      <c r="N210" s="477"/>
      <c r="O210" s="477"/>
      <c r="P210" s="460"/>
      <c r="Q210" s="460"/>
      <c r="R210" s="460"/>
      <c r="S210" s="460"/>
      <c r="T210" s="460"/>
      <c r="U210" s="460"/>
      <c r="V210" s="460"/>
      <c r="W210" s="460"/>
      <c r="X210" s="460"/>
      <c r="Y210" s="460"/>
      <c r="Z210" s="460"/>
    </row>
    <row r="211" spans="1:26" ht="15.75">
      <c r="A211" s="797"/>
      <c r="B211" s="77"/>
      <c r="C211" s="77"/>
      <c r="D211" s="77"/>
      <c r="E211" s="77"/>
      <c r="F211" s="77"/>
      <c r="G211" s="77"/>
      <c r="H211" s="86"/>
      <c r="I211" s="477"/>
      <c r="J211" s="477"/>
      <c r="K211" s="477"/>
      <c r="L211" s="477"/>
      <c r="M211" s="477"/>
      <c r="N211" s="477"/>
      <c r="O211" s="477"/>
      <c r="P211" s="460"/>
      <c r="Q211" s="460"/>
      <c r="R211" s="460"/>
      <c r="S211" s="460"/>
      <c r="T211" s="460"/>
      <c r="U211" s="460"/>
      <c r="V211" s="460"/>
      <c r="W211" s="460"/>
      <c r="X211" s="460"/>
      <c r="Y211" s="460"/>
      <c r="Z211" s="460"/>
    </row>
    <row r="212" spans="1:26" ht="15.75">
      <c r="A212" s="797"/>
      <c r="B212" s="77"/>
      <c r="C212" s="77"/>
      <c r="D212" s="77"/>
      <c r="E212" s="77"/>
      <c r="F212" s="77"/>
      <c r="G212" s="77"/>
      <c r="H212" s="86"/>
      <c r="I212" s="477"/>
      <c r="J212" s="477"/>
      <c r="K212" s="477"/>
      <c r="L212" s="477"/>
      <c r="M212" s="477"/>
      <c r="N212" s="477"/>
      <c r="O212" s="477"/>
      <c r="P212" s="460"/>
      <c r="Q212" s="460"/>
      <c r="R212" s="460"/>
      <c r="S212" s="460"/>
      <c r="T212" s="460"/>
      <c r="U212" s="460"/>
      <c r="V212" s="460"/>
      <c r="W212" s="460"/>
      <c r="X212" s="460"/>
      <c r="Y212" s="460"/>
      <c r="Z212" s="460"/>
    </row>
    <row r="213" spans="1:26" ht="15.75">
      <c r="A213" s="797"/>
      <c r="B213" s="77"/>
      <c r="C213" s="77"/>
      <c r="D213" s="77"/>
      <c r="E213" s="77"/>
      <c r="F213" s="77"/>
      <c r="G213" s="77"/>
      <c r="H213" s="86"/>
      <c r="I213" s="477"/>
      <c r="J213" s="477"/>
      <c r="K213" s="477"/>
      <c r="L213" s="477"/>
      <c r="M213" s="477"/>
      <c r="N213" s="477"/>
      <c r="O213" s="477"/>
      <c r="P213" s="460"/>
      <c r="Q213" s="460"/>
      <c r="R213" s="460"/>
      <c r="S213" s="460"/>
      <c r="T213" s="460"/>
      <c r="U213" s="460"/>
      <c r="V213" s="460"/>
      <c r="W213" s="460"/>
      <c r="X213" s="460"/>
      <c r="Y213" s="460"/>
      <c r="Z213" s="460"/>
    </row>
    <row r="214" spans="1:26" ht="15.75">
      <c r="A214" s="797"/>
      <c r="B214" s="77"/>
      <c r="C214" s="77"/>
      <c r="D214" s="77"/>
      <c r="E214" s="77"/>
      <c r="F214" s="77"/>
      <c r="G214" s="77"/>
      <c r="H214" s="86"/>
      <c r="I214" s="477"/>
      <c r="J214" s="477"/>
      <c r="K214" s="477"/>
      <c r="L214" s="477"/>
      <c r="M214" s="477"/>
      <c r="N214" s="477"/>
      <c r="O214" s="477"/>
      <c r="P214" s="460"/>
      <c r="Q214" s="460"/>
      <c r="R214" s="460"/>
      <c r="S214" s="460"/>
      <c r="T214" s="460"/>
      <c r="U214" s="460"/>
      <c r="V214" s="460"/>
      <c r="W214" s="460"/>
      <c r="X214" s="460"/>
      <c r="Y214" s="460"/>
      <c r="Z214" s="460"/>
    </row>
    <row r="215" spans="1:26" ht="15.75">
      <c r="A215" s="797"/>
      <c r="B215" s="77"/>
      <c r="C215" s="77"/>
      <c r="D215" s="77"/>
      <c r="E215" s="77"/>
      <c r="F215" s="77"/>
      <c r="G215" s="77"/>
      <c r="H215" s="86"/>
      <c r="I215" s="477"/>
      <c r="J215" s="477"/>
      <c r="K215" s="477"/>
      <c r="L215" s="477"/>
      <c r="M215" s="477"/>
      <c r="N215" s="477"/>
      <c r="O215" s="477"/>
      <c r="P215" s="460"/>
      <c r="Q215" s="460"/>
      <c r="R215" s="460"/>
      <c r="S215" s="460"/>
      <c r="T215" s="460"/>
      <c r="U215" s="460"/>
      <c r="V215" s="460"/>
      <c r="W215" s="460"/>
      <c r="X215" s="460"/>
      <c r="Y215" s="460"/>
      <c r="Z215" s="460"/>
    </row>
    <row r="216" spans="1:26" ht="15.75">
      <c r="A216" s="797"/>
      <c r="B216" s="77"/>
      <c r="C216" s="77"/>
      <c r="D216" s="77"/>
      <c r="E216" s="77"/>
      <c r="F216" s="77"/>
      <c r="G216" s="77"/>
      <c r="H216" s="86"/>
      <c r="I216" s="477"/>
      <c r="J216" s="477"/>
      <c r="K216" s="477"/>
      <c r="L216" s="477"/>
      <c r="M216" s="477"/>
      <c r="N216" s="477"/>
      <c r="O216" s="477"/>
      <c r="P216" s="460"/>
      <c r="Q216" s="460"/>
      <c r="R216" s="460"/>
      <c r="S216" s="460"/>
      <c r="T216" s="460"/>
      <c r="U216" s="460"/>
      <c r="V216" s="460"/>
      <c r="W216" s="460"/>
      <c r="X216" s="460"/>
      <c r="Y216" s="460"/>
      <c r="Z216" s="460"/>
    </row>
    <row r="217" spans="1:26" ht="15.75">
      <c r="A217" s="797"/>
      <c r="B217" s="77"/>
      <c r="C217" s="77"/>
      <c r="D217" s="77"/>
      <c r="E217" s="77"/>
      <c r="F217" s="77"/>
      <c r="G217" s="77"/>
      <c r="H217" s="86"/>
      <c r="I217" s="477"/>
      <c r="J217" s="477"/>
      <c r="K217" s="477"/>
      <c r="L217" s="477"/>
      <c r="M217" s="477"/>
      <c r="N217" s="477"/>
      <c r="O217" s="477"/>
      <c r="P217" s="460"/>
      <c r="Q217" s="460"/>
      <c r="R217" s="460"/>
      <c r="S217" s="460"/>
      <c r="T217" s="460"/>
      <c r="U217" s="460"/>
      <c r="V217" s="460"/>
      <c r="W217" s="460"/>
      <c r="X217" s="460"/>
      <c r="Y217" s="460"/>
      <c r="Z217" s="460"/>
    </row>
    <row r="218" spans="1:26" ht="15.75">
      <c r="A218" s="797"/>
      <c r="B218" s="77"/>
      <c r="C218" s="77"/>
      <c r="D218" s="77"/>
      <c r="E218" s="77"/>
      <c r="F218" s="77"/>
      <c r="G218" s="77"/>
      <c r="H218" s="86"/>
      <c r="I218" s="477"/>
      <c r="J218" s="477"/>
      <c r="K218" s="477"/>
      <c r="L218" s="477"/>
      <c r="M218" s="477"/>
      <c r="N218" s="477"/>
      <c r="O218" s="477"/>
      <c r="P218" s="460"/>
      <c r="Q218" s="460"/>
      <c r="R218" s="460"/>
      <c r="S218" s="460"/>
      <c r="T218" s="460"/>
      <c r="U218" s="460"/>
      <c r="V218" s="460"/>
      <c r="W218" s="460"/>
      <c r="X218" s="460"/>
      <c r="Y218" s="460"/>
      <c r="Z218" s="460"/>
    </row>
    <row r="219" spans="1:26" ht="15.75">
      <c r="A219" s="797"/>
      <c r="B219" s="77"/>
      <c r="C219" s="77"/>
      <c r="D219" s="77"/>
      <c r="E219" s="77"/>
      <c r="F219" s="77"/>
      <c r="G219" s="77"/>
      <c r="H219" s="86"/>
      <c r="I219" s="477"/>
      <c r="J219" s="477"/>
      <c r="K219" s="477"/>
      <c r="L219" s="477"/>
      <c r="M219" s="477"/>
      <c r="N219" s="477"/>
      <c r="O219" s="477"/>
      <c r="P219" s="460"/>
      <c r="Q219" s="460"/>
      <c r="R219" s="460"/>
      <c r="S219" s="460"/>
      <c r="T219" s="460"/>
      <c r="U219" s="460"/>
      <c r="V219" s="460"/>
      <c r="W219" s="460"/>
      <c r="X219" s="460"/>
      <c r="Y219" s="460"/>
      <c r="Z219" s="460"/>
    </row>
    <row r="220" spans="1:26" ht="15.75">
      <c r="A220" s="797"/>
      <c r="B220" s="77"/>
      <c r="C220" s="77"/>
      <c r="D220" s="77"/>
      <c r="E220" s="77"/>
      <c r="F220" s="77"/>
      <c r="G220" s="77"/>
      <c r="H220" s="86"/>
      <c r="I220" s="477"/>
      <c r="J220" s="477"/>
      <c r="K220" s="477"/>
      <c r="L220" s="477"/>
      <c r="M220" s="477"/>
      <c r="N220" s="477"/>
      <c r="O220" s="477"/>
      <c r="P220" s="460"/>
      <c r="Q220" s="460"/>
      <c r="R220" s="460"/>
      <c r="S220" s="460"/>
      <c r="T220" s="460"/>
      <c r="U220" s="460"/>
      <c r="V220" s="460"/>
      <c r="W220" s="460"/>
      <c r="X220" s="460"/>
      <c r="Y220" s="460"/>
      <c r="Z220" s="460"/>
    </row>
    <row r="221" spans="1:26" ht="15.75">
      <c r="A221" s="797"/>
      <c r="B221" s="77"/>
      <c r="C221" s="77"/>
      <c r="D221" s="77"/>
      <c r="E221" s="77"/>
      <c r="F221" s="77"/>
      <c r="G221" s="77"/>
      <c r="H221" s="86"/>
      <c r="I221" s="477"/>
      <c r="J221" s="477"/>
      <c r="K221" s="477"/>
      <c r="L221" s="477"/>
      <c r="M221" s="477"/>
      <c r="N221" s="477"/>
      <c r="O221" s="477"/>
      <c r="P221" s="460"/>
      <c r="Q221" s="460"/>
      <c r="R221" s="460"/>
      <c r="S221" s="460"/>
      <c r="T221" s="460"/>
      <c r="U221" s="460"/>
      <c r="V221" s="460"/>
      <c r="W221" s="460"/>
      <c r="X221" s="460"/>
      <c r="Y221" s="460"/>
      <c r="Z221" s="460"/>
    </row>
    <row r="222" spans="1:26" ht="15.75">
      <c r="A222" s="797"/>
      <c r="B222" s="77"/>
      <c r="C222" s="77"/>
      <c r="D222" s="77"/>
      <c r="E222" s="77"/>
      <c r="F222" s="77"/>
      <c r="G222" s="77"/>
      <c r="H222" s="86"/>
      <c r="I222" s="477"/>
      <c r="J222" s="477"/>
      <c r="K222" s="477"/>
      <c r="L222" s="477"/>
      <c r="M222" s="477"/>
      <c r="N222" s="477"/>
      <c r="O222" s="477"/>
      <c r="P222" s="460"/>
      <c r="Q222" s="460"/>
      <c r="R222" s="460"/>
      <c r="S222" s="460"/>
      <c r="T222" s="460"/>
      <c r="U222" s="460"/>
      <c r="V222" s="460"/>
      <c r="W222" s="460"/>
      <c r="X222" s="460"/>
      <c r="Y222" s="460"/>
      <c r="Z222" s="460"/>
    </row>
    <row r="223" spans="1:26" ht="15.75">
      <c r="A223" s="797"/>
      <c r="B223" s="77"/>
      <c r="C223" s="77"/>
      <c r="D223" s="77"/>
      <c r="E223" s="77"/>
      <c r="F223" s="77"/>
      <c r="G223" s="77"/>
      <c r="H223" s="86"/>
      <c r="I223" s="477"/>
      <c r="J223" s="477"/>
      <c r="K223" s="477"/>
      <c r="L223" s="477"/>
      <c r="M223" s="477"/>
      <c r="N223" s="477"/>
      <c r="O223" s="477"/>
      <c r="P223" s="460"/>
      <c r="Q223" s="460"/>
      <c r="R223" s="460"/>
      <c r="S223" s="460"/>
      <c r="T223" s="460"/>
      <c r="U223" s="460"/>
      <c r="V223" s="460"/>
      <c r="W223" s="460"/>
      <c r="X223" s="460"/>
      <c r="Y223" s="460"/>
      <c r="Z223" s="460"/>
    </row>
    <row r="224" spans="1:26" ht="15.75">
      <c r="A224" s="797"/>
      <c r="B224" s="77"/>
      <c r="C224" s="77"/>
      <c r="D224" s="77"/>
      <c r="E224" s="77"/>
      <c r="F224" s="77"/>
      <c r="G224" s="77"/>
      <c r="H224" s="86"/>
      <c r="I224" s="477"/>
      <c r="J224" s="477"/>
      <c r="K224" s="477"/>
      <c r="L224" s="477"/>
      <c r="M224" s="477"/>
      <c r="N224" s="477"/>
      <c r="O224" s="477"/>
      <c r="P224" s="460"/>
      <c r="Q224" s="460"/>
      <c r="R224" s="460"/>
      <c r="S224" s="460"/>
      <c r="T224" s="460"/>
      <c r="U224" s="460"/>
      <c r="V224" s="460"/>
      <c r="W224" s="460"/>
      <c r="X224" s="460"/>
      <c r="Y224" s="460"/>
      <c r="Z224" s="460"/>
    </row>
    <row r="225" spans="1:26" ht="15.75">
      <c r="A225" s="797"/>
      <c r="B225" s="77"/>
      <c r="C225" s="77"/>
      <c r="D225" s="77"/>
      <c r="E225" s="77"/>
      <c r="F225" s="77"/>
      <c r="G225" s="77"/>
      <c r="H225" s="86"/>
      <c r="I225" s="477"/>
      <c r="J225" s="477"/>
      <c r="K225" s="477"/>
      <c r="L225" s="477"/>
      <c r="M225" s="477"/>
      <c r="N225" s="477"/>
      <c r="O225" s="477"/>
      <c r="P225" s="460"/>
      <c r="Q225" s="460"/>
      <c r="R225" s="460"/>
      <c r="S225" s="460"/>
      <c r="T225" s="460"/>
      <c r="U225" s="460"/>
      <c r="V225" s="460"/>
      <c r="W225" s="460"/>
      <c r="X225" s="460"/>
      <c r="Y225" s="460"/>
      <c r="Z225" s="460"/>
    </row>
    <row r="226" spans="1:26" ht="15.75">
      <c r="A226" s="797"/>
      <c r="B226" s="77"/>
      <c r="C226" s="77"/>
      <c r="D226" s="77"/>
      <c r="E226" s="77"/>
      <c r="F226" s="77"/>
      <c r="G226" s="77"/>
      <c r="H226" s="86"/>
      <c r="I226" s="477"/>
      <c r="J226" s="477"/>
      <c r="K226" s="477"/>
      <c r="L226" s="477"/>
      <c r="M226" s="477"/>
      <c r="N226" s="477"/>
      <c r="O226" s="477"/>
      <c r="P226" s="460"/>
      <c r="Q226" s="460"/>
      <c r="R226" s="460"/>
      <c r="S226" s="460"/>
      <c r="T226" s="460"/>
      <c r="U226" s="460"/>
      <c r="V226" s="460"/>
      <c r="W226" s="460"/>
      <c r="X226" s="460"/>
      <c r="Y226" s="460"/>
      <c r="Z226" s="460"/>
    </row>
    <row r="227" spans="1:26" ht="15.75">
      <c r="A227" s="797"/>
      <c r="B227" s="77"/>
      <c r="C227" s="77"/>
      <c r="D227" s="77"/>
      <c r="E227" s="77"/>
      <c r="F227" s="77"/>
      <c r="G227" s="77"/>
      <c r="H227" s="86"/>
      <c r="I227" s="477"/>
      <c r="J227" s="477"/>
      <c r="K227" s="477"/>
      <c r="L227" s="477"/>
      <c r="M227" s="477"/>
      <c r="N227" s="477"/>
      <c r="O227" s="477"/>
      <c r="P227" s="460"/>
      <c r="Q227" s="460"/>
      <c r="R227" s="460"/>
      <c r="S227" s="460"/>
      <c r="T227" s="460"/>
      <c r="U227" s="460"/>
      <c r="V227" s="460"/>
      <c r="W227" s="460"/>
      <c r="X227" s="460"/>
      <c r="Y227" s="460"/>
      <c r="Z227" s="460"/>
    </row>
    <row r="228" spans="1:26" ht="15.75">
      <c r="A228" s="797"/>
      <c r="B228" s="77"/>
      <c r="C228" s="77"/>
      <c r="D228" s="77"/>
      <c r="E228" s="77"/>
      <c r="F228" s="77"/>
      <c r="G228" s="77"/>
      <c r="H228" s="86"/>
      <c r="I228" s="477"/>
      <c r="J228" s="477"/>
      <c r="K228" s="477"/>
      <c r="L228" s="477"/>
      <c r="M228" s="477"/>
      <c r="N228" s="477"/>
      <c r="O228" s="477"/>
      <c r="P228" s="460"/>
      <c r="Q228" s="460"/>
      <c r="R228" s="460"/>
      <c r="S228" s="460"/>
      <c r="T228" s="460"/>
      <c r="U228" s="460"/>
      <c r="V228" s="460"/>
      <c r="W228" s="460"/>
      <c r="X228" s="460"/>
      <c r="Y228" s="460"/>
      <c r="Z228" s="460"/>
    </row>
    <row r="229" spans="1:26" ht="15.75">
      <c r="A229" s="797"/>
      <c r="B229" s="77"/>
      <c r="C229" s="77"/>
      <c r="D229" s="77"/>
      <c r="E229" s="77"/>
      <c r="F229" s="77"/>
      <c r="G229" s="77"/>
      <c r="H229" s="86"/>
      <c r="I229" s="477"/>
      <c r="J229" s="477"/>
      <c r="K229" s="477"/>
      <c r="L229" s="477"/>
      <c r="M229" s="477"/>
      <c r="N229" s="477"/>
      <c r="O229" s="477"/>
      <c r="P229" s="460"/>
      <c r="Q229" s="460"/>
      <c r="R229" s="460"/>
      <c r="S229" s="460"/>
      <c r="T229" s="460"/>
      <c r="U229" s="460"/>
      <c r="V229" s="460"/>
      <c r="W229" s="460"/>
      <c r="X229" s="460"/>
      <c r="Y229" s="460"/>
      <c r="Z229" s="460"/>
    </row>
    <row r="230" spans="1:26" ht="15.75">
      <c r="A230" s="797"/>
      <c r="B230" s="77"/>
      <c r="C230" s="77"/>
      <c r="D230" s="77"/>
      <c r="E230" s="77"/>
      <c r="F230" s="77"/>
      <c r="G230" s="77"/>
      <c r="H230" s="86"/>
      <c r="I230" s="477"/>
      <c r="J230" s="477"/>
      <c r="K230" s="477"/>
      <c r="L230" s="477"/>
      <c r="M230" s="477"/>
      <c r="N230" s="477"/>
      <c r="O230" s="477"/>
      <c r="P230" s="460"/>
      <c r="Q230" s="460"/>
      <c r="R230" s="460"/>
      <c r="S230" s="460"/>
      <c r="T230" s="460"/>
      <c r="U230" s="460"/>
      <c r="V230" s="460"/>
      <c r="W230" s="460"/>
      <c r="X230" s="460"/>
      <c r="Y230" s="460"/>
      <c r="Z230" s="460"/>
    </row>
    <row r="231" spans="1:26" ht="15.75">
      <c r="A231" s="797"/>
      <c r="B231" s="77"/>
      <c r="C231" s="77"/>
      <c r="D231" s="77"/>
      <c r="E231" s="77"/>
      <c r="F231" s="77"/>
      <c r="G231" s="77"/>
      <c r="H231" s="86"/>
      <c r="I231" s="477"/>
      <c r="J231" s="477"/>
      <c r="K231" s="477"/>
      <c r="L231" s="477"/>
      <c r="M231" s="477"/>
      <c r="N231" s="477"/>
      <c r="O231" s="477"/>
      <c r="P231" s="460"/>
      <c r="Q231" s="460"/>
      <c r="R231" s="460"/>
      <c r="S231" s="460"/>
      <c r="T231" s="460"/>
      <c r="U231" s="460"/>
      <c r="V231" s="460"/>
      <c r="W231" s="460"/>
      <c r="X231" s="460"/>
      <c r="Y231" s="460"/>
      <c r="Z231" s="460"/>
    </row>
    <row r="232" spans="1:26" ht="15.75">
      <c r="A232" s="797"/>
      <c r="B232" s="77"/>
      <c r="C232" s="77"/>
      <c r="D232" s="77"/>
      <c r="E232" s="77"/>
      <c r="F232" s="77"/>
      <c r="G232" s="77"/>
      <c r="H232" s="86"/>
      <c r="I232" s="477"/>
      <c r="J232" s="477"/>
      <c r="K232" s="477"/>
      <c r="L232" s="477"/>
      <c r="M232" s="477"/>
      <c r="N232" s="477"/>
      <c r="O232" s="477"/>
      <c r="P232" s="460"/>
      <c r="Q232" s="460"/>
      <c r="R232" s="460"/>
      <c r="S232" s="460"/>
      <c r="T232" s="460"/>
      <c r="U232" s="460"/>
      <c r="V232" s="460"/>
      <c r="W232" s="460"/>
      <c r="X232" s="460"/>
      <c r="Y232" s="460"/>
      <c r="Z232" s="460"/>
    </row>
    <row r="233" spans="1:26" ht="15.75">
      <c r="A233" s="797"/>
      <c r="B233" s="77"/>
      <c r="C233" s="77"/>
      <c r="D233" s="77"/>
      <c r="E233" s="77"/>
      <c r="F233" s="77"/>
      <c r="G233" s="77"/>
      <c r="H233" s="86"/>
      <c r="I233" s="477"/>
      <c r="J233" s="477"/>
      <c r="K233" s="477"/>
      <c r="L233" s="477"/>
      <c r="M233" s="477"/>
      <c r="N233" s="477"/>
      <c r="O233" s="477"/>
      <c r="P233" s="460"/>
      <c r="Q233" s="460"/>
      <c r="R233" s="460"/>
      <c r="S233" s="460"/>
      <c r="T233" s="460"/>
      <c r="U233" s="460"/>
      <c r="V233" s="460"/>
      <c r="W233" s="460"/>
      <c r="X233" s="460"/>
      <c r="Y233" s="460"/>
      <c r="Z233" s="460"/>
    </row>
    <row r="234" spans="1:26" ht="15.75">
      <c r="A234" s="797"/>
      <c r="B234" s="77"/>
      <c r="C234" s="77"/>
      <c r="D234" s="77"/>
      <c r="E234" s="77"/>
      <c r="F234" s="77"/>
      <c r="G234" s="77"/>
      <c r="H234" s="86"/>
      <c r="I234" s="477"/>
      <c r="J234" s="477"/>
      <c r="K234" s="477"/>
      <c r="L234" s="477"/>
      <c r="M234" s="477"/>
      <c r="N234" s="477"/>
      <c r="O234" s="477"/>
      <c r="P234" s="460"/>
      <c r="Q234" s="460"/>
      <c r="R234" s="460"/>
      <c r="S234" s="460"/>
      <c r="T234" s="460"/>
      <c r="U234" s="460"/>
      <c r="V234" s="460"/>
      <c r="W234" s="460"/>
      <c r="X234" s="460"/>
      <c r="Y234" s="460"/>
      <c r="Z234" s="460"/>
    </row>
    <row r="235" spans="1:26" ht="15.75">
      <c r="A235" s="797"/>
      <c r="B235" s="77"/>
      <c r="C235" s="77"/>
      <c r="D235" s="77"/>
      <c r="E235" s="77"/>
      <c r="F235" s="77"/>
      <c r="G235" s="77"/>
      <c r="H235" s="86"/>
      <c r="I235" s="477"/>
      <c r="J235" s="477"/>
      <c r="K235" s="477"/>
      <c r="L235" s="477"/>
      <c r="M235" s="477"/>
      <c r="N235" s="477"/>
      <c r="O235" s="477"/>
      <c r="P235" s="460"/>
      <c r="Q235" s="460"/>
      <c r="R235" s="460"/>
      <c r="S235" s="460"/>
      <c r="T235" s="460"/>
      <c r="U235" s="460"/>
      <c r="V235" s="460"/>
      <c r="W235" s="460"/>
      <c r="X235" s="460"/>
      <c r="Y235" s="460"/>
      <c r="Z235" s="460"/>
    </row>
    <row r="236" spans="1:26" ht="15.75">
      <c r="A236" s="797"/>
      <c r="B236" s="77"/>
      <c r="C236" s="77"/>
      <c r="D236" s="77"/>
      <c r="E236" s="77"/>
      <c r="F236" s="77"/>
      <c r="G236" s="77"/>
      <c r="H236" s="86"/>
      <c r="I236" s="477"/>
      <c r="J236" s="477"/>
      <c r="K236" s="477"/>
      <c r="L236" s="477"/>
      <c r="M236" s="477"/>
      <c r="N236" s="477"/>
      <c r="O236" s="477"/>
      <c r="P236" s="460"/>
      <c r="Q236" s="460"/>
      <c r="R236" s="460"/>
      <c r="S236" s="460"/>
      <c r="T236" s="460"/>
      <c r="U236" s="460"/>
      <c r="V236" s="460"/>
      <c r="W236" s="460"/>
      <c r="X236" s="460"/>
      <c r="Y236" s="460"/>
      <c r="Z236" s="460"/>
    </row>
    <row r="237" spans="1:26" ht="15.75">
      <c r="A237" s="797"/>
      <c r="B237" s="77"/>
      <c r="C237" s="77"/>
      <c r="D237" s="77"/>
      <c r="E237" s="77"/>
      <c r="F237" s="77"/>
      <c r="G237" s="77"/>
      <c r="H237" s="86"/>
      <c r="I237" s="477"/>
      <c r="J237" s="477"/>
      <c r="K237" s="477"/>
      <c r="L237" s="477"/>
      <c r="M237" s="477"/>
      <c r="N237" s="477"/>
      <c r="O237" s="477"/>
      <c r="P237" s="460"/>
      <c r="Q237" s="460"/>
      <c r="R237" s="460"/>
      <c r="S237" s="460"/>
      <c r="T237" s="460"/>
      <c r="U237" s="460"/>
      <c r="V237" s="460"/>
      <c r="W237" s="460"/>
      <c r="X237" s="460"/>
      <c r="Y237" s="460"/>
      <c r="Z237" s="460"/>
    </row>
    <row r="238" spans="1:26" ht="15.75">
      <c r="A238" s="797"/>
      <c r="B238" s="77"/>
      <c r="C238" s="77"/>
      <c r="D238" s="77"/>
      <c r="E238" s="77"/>
      <c r="F238" s="77"/>
      <c r="G238" s="77"/>
      <c r="H238" s="86"/>
      <c r="I238" s="477"/>
      <c r="J238" s="477"/>
      <c r="K238" s="477"/>
      <c r="L238" s="477"/>
      <c r="M238" s="477"/>
      <c r="N238" s="477"/>
      <c r="O238" s="477"/>
      <c r="P238" s="460"/>
      <c r="Q238" s="460"/>
      <c r="R238" s="460"/>
      <c r="S238" s="460"/>
      <c r="T238" s="460"/>
      <c r="U238" s="460"/>
      <c r="V238" s="460"/>
      <c r="W238" s="460"/>
      <c r="X238" s="460"/>
      <c r="Y238" s="460"/>
      <c r="Z238" s="460"/>
    </row>
    <row r="239" spans="1:26" ht="15.75">
      <c r="A239" s="797"/>
      <c r="B239" s="77"/>
      <c r="C239" s="77"/>
      <c r="D239" s="77"/>
      <c r="E239" s="77"/>
      <c r="F239" s="77"/>
      <c r="G239" s="77"/>
      <c r="H239" s="86"/>
      <c r="I239" s="477"/>
      <c r="J239" s="477"/>
      <c r="K239" s="477"/>
      <c r="L239" s="477"/>
      <c r="M239" s="477"/>
      <c r="N239" s="477"/>
      <c r="O239" s="477"/>
      <c r="P239" s="460"/>
      <c r="Q239" s="460"/>
      <c r="R239" s="460"/>
      <c r="S239" s="460"/>
      <c r="T239" s="460"/>
      <c r="U239" s="460"/>
      <c r="V239" s="460"/>
      <c r="W239" s="460"/>
      <c r="X239" s="460"/>
      <c r="Y239" s="460"/>
      <c r="Z239" s="460"/>
    </row>
    <row r="240" spans="1:26" ht="15.75">
      <c r="A240" s="797"/>
      <c r="B240" s="77"/>
      <c r="C240" s="77"/>
      <c r="D240" s="77"/>
      <c r="E240" s="77"/>
      <c r="F240" s="77"/>
      <c r="G240" s="77"/>
      <c r="H240" s="86"/>
      <c r="I240" s="477"/>
      <c r="J240" s="477"/>
      <c r="K240" s="477"/>
      <c r="L240" s="477"/>
      <c r="M240" s="477"/>
      <c r="N240" s="477"/>
      <c r="O240" s="477"/>
      <c r="P240" s="460"/>
      <c r="Q240" s="460"/>
      <c r="R240" s="460"/>
      <c r="S240" s="460"/>
      <c r="T240" s="460"/>
      <c r="U240" s="460"/>
      <c r="V240" s="460"/>
      <c r="W240" s="460"/>
      <c r="X240" s="460"/>
      <c r="Y240" s="460"/>
      <c r="Z240" s="460"/>
    </row>
    <row r="241" spans="1:15" ht="15.75">
      <c r="A241" s="797"/>
      <c r="B241" s="77"/>
      <c r="C241" s="77"/>
      <c r="D241" s="77"/>
      <c r="E241" s="77"/>
      <c r="F241" s="77"/>
      <c r="G241" s="77"/>
      <c r="H241" s="86"/>
      <c r="I241" s="77"/>
      <c r="J241" s="77"/>
      <c r="K241" s="77"/>
      <c r="L241" s="77"/>
      <c r="M241" s="77"/>
      <c r="N241" s="77"/>
      <c r="O241" s="77"/>
    </row>
    <row r="242" spans="1:15" ht="15.75">
      <c r="A242" s="797"/>
      <c r="B242" s="77"/>
      <c r="C242" s="77"/>
      <c r="D242" s="77"/>
      <c r="E242" s="77"/>
      <c r="F242" s="77"/>
      <c r="G242" s="77"/>
      <c r="H242" s="86"/>
      <c r="I242" s="77"/>
      <c r="J242" s="77"/>
      <c r="K242" s="77"/>
      <c r="L242" s="77"/>
      <c r="M242" s="77"/>
      <c r="N242" s="77"/>
      <c r="O242" s="77"/>
    </row>
    <row r="243" spans="1:15" ht="15.75">
      <c r="A243" s="797"/>
      <c r="B243" s="77"/>
      <c r="C243" s="77"/>
      <c r="D243" s="77"/>
      <c r="E243" s="77"/>
      <c r="F243" s="77"/>
      <c r="G243" s="77"/>
      <c r="H243" s="86"/>
      <c r="I243" s="77"/>
      <c r="J243" s="77"/>
      <c r="K243" s="77"/>
      <c r="L243" s="77"/>
      <c r="M243" s="77"/>
      <c r="N243" s="77"/>
      <c r="O243" s="77"/>
    </row>
    <row r="244" spans="1:15" ht="15.75">
      <c r="A244" s="797"/>
      <c r="B244" s="77"/>
      <c r="C244" s="77"/>
      <c r="D244" s="77"/>
      <c r="E244" s="77"/>
      <c r="F244" s="77"/>
      <c r="G244" s="77"/>
      <c r="H244" s="86"/>
      <c r="I244" s="77"/>
      <c r="J244" s="77"/>
      <c r="K244" s="77"/>
      <c r="L244" s="77"/>
      <c r="M244" s="77"/>
      <c r="N244" s="77"/>
      <c r="O244" s="77"/>
    </row>
    <row r="245" spans="1:15" ht="15.75">
      <c r="A245" s="797"/>
      <c r="B245" s="77"/>
      <c r="C245" s="77"/>
      <c r="D245" s="77"/>
      <c r="E245" s="77"/>
      <c r="F245" s="77"/>
      <c r="G245" s="77"/>
      <c r="H245" s="86"/>
      <c r="I245" s="77"/>
      <c r="J245" s="77"/>
      <c r="K245" s="77"/>
      <c r="L245" s="77"/>
      <c r="M245" s="77"/>
      <c r="N245" s="77"/>
      <c r="O245" s="77"/>
    </row>
    <row r="246" spans="1:15" ht="15.75">
      <c r="A246" s="797"/>
      <c r="B246" s="77"/>
      <c r="C246" s="77"/>
      <c r="D246" s="77"/>
      <c r="E246" s="77"/>
      <c r="F246" s="77"/>
      <c r="G246" s="77"/>
      <c r="H246" s="86"/>
      <c r="I246" s="77"/>
      <c r="J246" s="77"/>
      <c r="K246" s="77"/>
      <c r="L246" s="77"/>
      <c r="M246" s="77"/>
      <c r="N246" s="77"/>
      <c r="O246" s="77"/>
    </row>
    <row r="247" spans="1:15" ht="15.75">
      <c r="A247" s="797"/>
      <c r="B247" s="77"/>
      <c r="C247" s="77"/>
      <c r="D247" s="77"/>
      <c r="E247" s="77"/>
      <c r="F247" s="77"/>
      <c r="G247" s="77"/>
      <c r="H247" s="86"/>
      <c r="I247" s="77"/>
      <c r="J247" s="77"/>
      <c r="K247" s="77"/>
      <c r="L247" s="77"/>
      <c r="M247" s="77"/>
      <c r="N247" s="77"/>
      <c r="O247" s="77"/>
    </row>
    <row r="248" spans="1:15" ht="15.75">
      <c r="A248" s="797"/>
      <c r="B248" s="77"/>
      <c r="C248" s="77"/>
      <c r="D248" s="77"/>
      <c r="E248" s="77"/>
      <c r="F248" s="77"/>
      <c r="G248" s="77"/>
      <c r="H248" s="86"/>
      <c r="I248" s="77"/>
      <c r="J248" s="77"/>
      <c r="K248" s="77"/>
      <c r="L248" s="77"/>
      <c r="M248" s="77"/>
      <c r="N248" s="77"/>
      <c r="O248" s="77"/>
    </row>
    <row r="249" spans="1:15" ht="15.75">
      <c r="A249" s="797"/>
      <c r="B249" s="77"/>
      <c r="C249" s="77"/>
      <c r="D249" s="77"/>
      <c r="E249" s="77"/>
      <c r="F249" s="77"/>
      <c r="G249" s="77"/>
      <c r="H249" s="86"/>
      <c r="I249" s="77"/>
      <c r="J249" s="77"/>
      <c r="K249" s="77"/>
      <c r="L249" s="77"/>
      <c r="M249" s="77"/>
      <c r="N249" s="77"/>
      <c r="O249" s="77"/>
    </row>
    <row r="250" spans="1:15" ht="15.75">
      <c r="A250" s="797"/>
      <c r="B250" s="77"/>
      <c r="C250" s="77"/>
      <c r="D250" s="77"/>
      <c r="E250" s="77"/>
      <c r="F250" s="77"/>
      <c r="G250" s="77"/>
      <c r="H250" s="86"/>
      <c r="I250" s="77"/>
      <c r="J250" s="77"/>
      <c r="K250" s="77"/>
      <c r="L250" s="77"/>
      <c r="M250" s="77"/>
      <c r="N250" s="77"/>
      <c r="O250" s="77"/>
    </row>
    <row r="251" spans="1:15" ht="15.75">
      <c r="A251" s="797"/>
      <c r="B251" s="77"/>
      <c r="C251" s="77"/>
      <c r="D251" s="77"/>
      <c r="E251" s="77"/>
      <c r="F251" s="77"/>
      <c r="G251" s="77"/>
      <c r="H251" s="86"/>
      <c r="I251" s="77"/>
      <c r="J251" s="77"/>
      <c r="K251" s="77"/>
      <c r="L251" s="77"/>
      <c r="M251" s="77"/>
      <c r="N251" s="77"/>
      <c r="O251" s="77"/>
    </row>
    <row r="252" spans="1:15" ht="15.75">
      <c r="A252" s="797"/>
      <c r="B252" s="77"/>
      <c r="C252" s="77"/>
      <c r="D252" s="77"/>
      <c r="E252" s="77"/>
      <c r="F252" s="77"/>
      <c r="G252" s="77"/>
      <c r="H252" s="86"/>
      <c r="I252" s="77"/>
      <c r="J252" s="77"/>
      <c r="K252" s="77"/>
      <c r="L252" s="77"/>
      <c r="M252" s="77"/>
      <c r="N252" s="77"/>
      <c r="O252" s="77"/>
    </row>
    <row r="253" spans="1:15" ht="15.75">
      <c r="A253" s="797"/>
      <c r="B253" s="77"/>
      <c r="C253" s="77"/>
      <c r="D253" s="77"/>
      <c r="E253" s="77"/>
      <c r="F253" s="77"/>
      <c r="G253" s="77"/>
      <c r="H253" s="86"/>
      <c r="I253" s="77"/>
      <c r="J253" s="77"/>
      <c r="K253" s="77"/>
      <c r="L253" s="77"/>
      <c r="M253" s="77"/>
      <c r="N253" s="77"/>
      <c r="O253" s="77"/>
    </row>
    <row r="254" spans="1:15" ht="15.75">
      <c r="A254" s="797"/>
      <c r="B254" s="77"/>
      <c r="C254" s="77"/>
      <c r="D254" s="77"/>
      <c r="E254" s="77"/>
      <c r="F254" s="77"/>
      <c r="G254" s="77"/>
      <c r="H254" s="86"/>
      <c r="I254" s="77"/>
      <c r="J254" s="77"/>
      <c r="K254" s="77"/>
      <c r="L254" s="77"/>
      <c r="M254" s="77"/>
      <c r="N254" s="77"/>
      <c r="O254" s="77"/>
    </row>
    <row r="255" spans="1:15" ht="15.75">
      <c r="A255" s="797"/>
      <c r="B255" s="77"/>
      <c r="C255" s="77"/>
      <c r="D255" s="77"/>
      <c r="E255" s="77"/>
      <c r="F255" s="77"/>
      <c r="G255" s="77"/>
      <c r="H255" s="86"/>
      <c r="I255" s="77"/>
      <c r="J255" s="77"/>
      <c r="K255" s="77"/>
      <c r="L255" s="77"/>
      <c r="M255" s="77"/>
      <c r="N255" s="77"/>
      <c r="O255" s="77"/>
    </row>
    <row r="256" spans="1:15" ht="15.75">
      <c r="A256" s="797"/>
      <c r="B256" s="77"/>
      <c r="C256" s="77"/>
      <c r="D256" s="77"/>
      <c r="E256" s="77"/>
      <c r="F256" s="77"/>
      <c r="G256" s="77"/>
      <c r="H256" s="86"/>
      <c r="I256" s="77"/>
      <c r="J256" s="77"/>
      <c r="K256" s="77"/>
      <c r="L256" s="77"/>
      <c r="M256" s="77"/>
      <c r="N256" s="77"/>
      <c r="O256" s="77"/>
    </row>
    <row r="257" spans="1:15" ht="15.75">
      <c r="A257" s="797"/>
      <c r="B257" s="77"/>
      <c r="C257" s="77"/>
      <c r="D257" s="77"/>
      <c r="E257" s="77"/>
      <c r="F257" s="77"/>
      <c r="G257" s="77"/>
      <c r="H257" s="86"/>
      <c r="I257" s="77"/>
      <c r="J257" s="77"/>
      <c r="K257" s="77"/>
      <c r="L257" s="77"/>
      <c r="M257" s="77"/>
      <c r="N257" s="77"/>
      <c r="O257" s="77"/>
    </row>
    <row r="258" spans="1:15" ht="15.75">
      <c r="A258" s="797"/>
      <c r="B258" s="77"/>
      <c r="C258" s="77"/>
      <c r="D258" s="77"/>
      <c r="E258" s="77"/>
      <c r="F258" s="77"/>
      <c r="G258" s="77"/>
      <c r="H258" s="86"/>
      <c r="I258" s="77"/>
      <c r="J258" s="77"/>
      <c r="K258" s="77"/>
      <c r="L258" s="77"/>
      <c r="M258" s="77"/>
      <c r="N258" s="77"/>
      <c r="O258" s="77"/>
    </row>
    <row r="259" spans="1:15" ht="15.75">
      <c r="A259" s="797"/>
      <c r="B259" s="77"/>
      <c r="C259" s="77"/>
      <c r="D259" s="77"/>
      <c r="E259" s="77"/>
      <c r="F259" s="77"/>
      <c r="G259" s="77"/>
      <c r="H259" s="86"/>
      <c r="I259" s="77"/>
      <c r="J259" s="77"/>
      <c r="K259" s="77"/>
      <c r="L259" s="77"/>
      <c r="M259" s="77"/>
      <c r="N259" s="77"/>
      <c r="O259" s="77"/>
    </row>
    <row r="260" spans="1:15" ht="15.75">
      <c r="A260" s="797"/>
      <c r="B260" s="77"/>
      <c r="C260" s="77"/>
      <c r="D260" s="77"/>
      <c r="E260" s="77"/>
      <c r="F260" s="77"/>
      <c r="G260" s="77"/>
      <c r="H260" s="86"/>
      <c r="I260" s="77"/>
      <c r="J260" s="77"/>
      <c r="K260" s="77"/>
      <c r="L260" s="77"/>
      <c r="M260" s="77"/>
      <c r="N260" s="77"/>
      <c r="O260" s="77"/>
    </row>
    <row r="261" spans="1:15" ht="15.75">
      <c r="A261" s="797"/>
      <c r="B261" s="77"/>
      <c r="C261" s="77"/>
      <c r="D261" s="77"/>
      <c r="E261" s="77"/>
      <c r="F261" s="77"/>
      <c r="G261" s="77"/>
      <c r="H261" s="86"/>
      <c r="I261" s="77"/>
      <c r="J261" s="77"/>
      <c r="K261" s="77"/>
      <c r="L261" s="77"/>
      <c r="M261" s="77"/>
      <c r="N261" s="77"/>
      <c r="O261" s="77"/>
    </row>
    <row r="262" spans="1:15" ht="15.75">
      <c r="A262" s="797"/>
      <c r="B262" s="77"/>
      <c r="C262" s="77"/>
      <c r="D262" s="77"/>
      <c r="E262" s="77"/>
      <c r="F262" s="77"/>
      <c r="G262" s="77"/>
      <c r="H262" s="86"/>
      <c r="I262" s="77"/>
      <c r="J262" s="77"/>
      <c r="K262" s="77"/>
      <c r="L262" s="77"/>
      <c r="M262" s="77"/>
      <c r="N262" s="77"/>
      <c r="O262" s="77"/>
    </row>
    <row r="263" spans="1:15" ht="15.75">
      <c r="A263" s="797"/>
      <c r="B263" s="77"/>
      <c r="C263" s="77"/>
      <c r="D263" s="77"/>
      <c r="E263" s="77"/>
      <c r="F263" s="77"/>
      <c r="G263" s="77"/>
      <c r="H263" s="86"/>
      <c r="I263" s="77"/>
      <c r="J263" s="77"/>
      <c r="K263" s="77"/>
      <c r="L263" s="77"/>
      <c r="M263" s="77"/>
      <c r="N263" s="77"/>
      <c r="O263" s="77"/>
    </row>
    <row r="264" spans="1:15" ht="15.75">
      <c r="A264" s="797"/>
      <c r="B264" s="77"/>
      <c r="C264" s="77"/>
      <c r="D264" s="77"/>
      <c r="E264" s="77"/>
      <c r="F264" s="77"/>
      <c r="G264" s="77"/>
      <c r="H264" s="86"/>
      <c r="I264" s="77"/>
      <c r="J264" s="77"/>
      <c r="K264" s="77"/>
      <c r="L264" s="77"/>
      <c r="M264" s="77"/>
      <c r="N264" s="77"/>
      <c r="O264" s="77"/>
    </row>
    <row r="265" spans="1:15" ht="15.75">
      <c r="A265" s="797"/>
      <c r="B265" s="77"/>
      <c r="C265" s="77"/>
      <c r="D265" s="77"/>
      <c r="E265" s="77"/>
      <c r="F265" s="77"/>
      <c r="G265" s="77"/>
      <c r="H265" s="86"/>
      <c r="I265" s="77"/>
      <c r="J265" s="77"/>
      <c r="K265" s="77"/>
      <c r="L265" s="77"/>
      <c r="M265" s="77"/>
      <c r="N265" s="77"/>
      <c r="O265" s="77"/>
    </row>
    <row r="266" spans="1:15" ht="15.75">
      <c r="A266" s="797"/>
      <c r="B266" s="77"/>
      <c r="C266" s="77"/>
      <c r="D266" s="77"/>
      <c r="E266" s="77"/>
      <c r="F266" s="77"/>
      <c r="G266" s="77"/>
      <c r="H266" s="86"/>
      <c r="I266" s="77"/>
      <c r="J266" s="77"/>
      <c r="K266" s="77"/>
      <c r="L266" s="77"/>
      <c r="M266" s="77"/>
      <c r="N266" s="77"/>
      <c r="O266" s="77"/>
    </row>
    <row r="267" spans="1:15" ht="15.75">
      <c r="A267" s="797"/>
      <c r="B267" s="77"/>
      <c r="C267" s="77"/>
      <c r="D267" s="77"/>
      <c r="E267" s="77"/>
      <c r="F267" s="77"/>
      <c r="G267" s="77"/>
      <c r="H267" s="86"/>
      <c r="I267" s="77"/>
      <c r="J267" s="77"/>
      <c r="K267" s="77"/>
      <c r="L267" s="77"/>
      <c r="M267" s="77"/>
      <c r="N267" s="77"/>
      <c r="O267" s="77"/>
    </row>
    <row r="268" spans="1:15" ht="15.75">
      <c r="A268" s="797"/>
      <c r="B268" s="77"/>
      <c r="C268" s="77"/>
      <c r="D268" s="77"/>
      <c r="E268" s="77"/>
      <c r="F268" s="77"/>
      <c r="G268" s="77"/>
      <c r="H268" s="86"/>
      <c r="I268" s="77"/>
      <c r="J268" s="77"/>
      <c r="K268" s="77"/>
      <c r="L268" s="77"/>
      <c r="M268" s="77"/>
      <c r="N268" s="77"/>
      <c r="O268" s="77"/>
    </row>
    <row r="269" spans="1:15" ht="15.75">
      <c r="A269" s="797"/>
      <c r="B269" s="77"/>
      <c r="C269" s="77"/>
      <c r="D269" s="77"/>
      <c r="E269" s="77"/>
      <c r="F269" s="77"/>
      <c r="G269" s="77"/>
      <c r="H269" s="86"/>
      <c r="I269" s="77"/>
      <c r="J269" s="77"/>
      <c r="K269" s="77"/>
      <c r="L269" s="77"/>
      <c r="M269" s="77"/>
      <c r="N269" s="77"/>
      <c r="O269" s="77"/>
    </row>
    <row r="270" spans="1:15" ht="15.75">
      <c r="A270" s="797"/>
      <c r="B270" s="77"/>
      <c r="C270" s="77"/>
      <c r="D270" s="77"/>
      <c r="E270" s="77"/>
      <c r="F270" s="77"/>
      <c r="G270" s="77"/>
      <c r="H270" s="86"/>
      <c r="I270" s="77"/>
      <c r="J270" s="77"/>
      <c r="K270" s="77"/>
      <c r="L270" s="77"/>
      <c r="M270" s="77"/>
      <c r="N270" s="77"/>
      <c r="O270" s="77"/>
    </row>
    <row r="271" spans="1:15" ht="15.75">
      <c r="A271" s="797"/>
      <c r="B271" s="77"/>
      <c r="C271" s="77"/>
      <c r="D271" s="77"/>
      <c r="E271" s="77"/>
      <c r="F271" s="77"/>
      <c r="G271" s="77"/>
      <c r="H271" s="86"/>
      <c r="I271" s="77"/>
      <c r="J271" s="77"/>
      <c r="K271" s="77"/>
      <c r="L271" s="77"/>
      <c r="M271" s="77"/>
      <c r="N271" s="77"/>
      <c r="O271" s="77"/>
    </row>
    <row r="272" spans="1:15" ht="15.75">
      <c r="A272" s="797"/>
      <c r="B272" s="77"/>
      <c r="C272" s="77"/>
      <c r="D272" s="77"/>
      <c r="E272" s="77"/>
      <c r="F272" s="77"/>
      <c r="G272" s="77"/>
      <c r="H272" s="86"/>
      <c r="I272" s="77"/>
      <c r="J272" s="77"/>
      <c r="K272" s="77"/>
      <c r="L272" s="77"/>
      <c r="M272" s="77"/>
      <c r="N272" s="77"/>
      <c r="O272" s="77"/>
    </row>
    <row r="273" spans="1:15" ht="15.75">
      <c r="A273" s="797"/>
      <c r="B273" s="77"/>
      <c r="C273" s="77"/>
      <c r="D273" s="77"/>
      <c r="E273" s="77"/>
      <c r="F273" s="77"/>
      <c r="G273" s="77"/>
      <c r="H273" s="86"/>
      <c r="I273" s="77"/>
      <c r="J273" s="77"/>
      <c r="K273" s="77"/>
      <c r="L273" s="77"/>
      <c r="M273" s="77"/>
      <c r="N273" s="77"/>
      <c r="O273" s="77"/>
    </row>
    <row r="274" spans="1:15" ht="15.75">
      <c r="A274" s="797"/>
      <c r="B274" s="77"/>
      <c r="C274" s="77"/>
      <c r="D274" s="77"/>
      <c r="E274" s="77"/>
      <c r="F274" s="77"/>
      <c r="G274" s="77"/>
      <c r="H274" s="86"/>
      <c r="I274" s="77"/>
      <c r="J274" s="77"/>
      <c r="K274" s="77"/>
      <c r="L274" s="77"/>
      <c r="M274" s="77"/>
      <c r="N274" s="77"/>
      <c r="O274" s="77"/>
    </row>
    <row r="275" spans="1:15" ht="15.75">
      <c r="A275" s="797"/>
      <c r="B275" s="77"/>
      <c r="C275" s="77"/>
      <c r="D275" s="77"/>
      <c r="E275" s="77"/>
      <c r="F275" s="77"/>
      <c r="G275" s="77"/>
      <c r="H275" s="86"/>
      <c r="I275" s="77"/>
      <c r="J275" s="77"/>
      <c r="K275" s="77"/>
      <c r="L275" s="77"/>
      <c r="M275" s="77"/>
      <c r="N275" s="77"/>
      <c r="O275" s="77"/>
    </row>
    <row r="276" spans="1:15" ht="15.75">
      <c r="A276" s="797"/>
      <c r="B276" s="77"/>
      <c r="C276" s="77"/>
      <c r="D276" s="77"/>
      <c r="E276" s="77"/>
      <c r="F276" s="77"/>
      <c r="G276" s="77"/>
      <c r="H276" s="86"/>
      <c r="I276" s="77"/>
      <c r="J276" s="77"/>
      <c r="K276" s="77"/>
      <c r="L276" s="77"/>
      <c r="M276" s="77"/>
      <c r="N276" s="77"/>
      <c r="O276" s="77"/>
    </row>
    <row r="277" spans="1:15" ht="15.75">
      <c r="A277" s="797"/>
      <c r="B277" s="77"/>
      <c r="C277" s="77"/>
      <c r="D277" s="77"/>
      <c r="E277" s="77"/>
      <c r="F277" s="77"/>
      <c r="G277" s="77"/>
      <c r="H277" s="86"/>
      <c r="I277" s="77"/>
      <c r="J277" s="77"/>
      <c r="K277" s="77"/>
      <c r="L277" s="77"/>
      <c r="M277" s="77"/>
      <c r="N277" s="77"/>
      <c r="O277" s="77"/>
    </row>
    <row r="278" spans="1:15" ht="15.75">
      <c r="A278" s="797"/>
      <c r="B278" s="77"/>
      <c r="C278" s="77"/>
      <c r="D278" s="77"/>
      <c r="E278" s="77"/>
      <c r="F278" s="77"/>
      <c r="G278" s="77"/>
      <c r="H278" s="86"/>
      <c r="I278" s="77"/>
      <c r="J278" s="77"/>
      <c r="K278" s="77"/>
      <c r="L278" s="77"/>
      <c r="M278" s="77"/>
      <c r="N278" s="77"/>
      <c r="O278" s="77"/>
    </row>
    <row r="279" spans="1:15" ht="15.75">
      <c r="A279" s="797"/>
      <c r="B279" s="77"/>
      <c r="C279" s="77"/>
      <c r="D279" s="77"/>
      <c r="E279" s="77"/>
      <c r="F279" s="77"/>
      <c r="G279" s="77"/>
      <c r="H279" s="86"/>
      <c r="I279" s="77"/>
      <c r="J279" s="77"/>
      <c r="K279" s="77"/>
      <c r="L279" s="77"/>
      <c r="M279" s="77"/>
      <c r="N279" s="77"/>
      <c r="O279" s="77"/>
    </row>
    <row r="280" spans="1:15" ht="15.75">
      <c r="A280" s="797"/>
      <c r="B280" s="77"/>
      <c r="C280" s="77"/>
      <c r="D280" s="77"/>
      <c r="E280" s="77"/>
      <c r="F280" s="77"/>
      <c r="G280" s="77"/>
      <c r="H280" s="86"/>
      <c r="I280" s="77"/>
      <c r="J280" s="77"/>
      <c r="K280" s="77"/>
      <c r="L280" s="77"/>
      <c r="M280" s="77"/>
      <c r="N280" s="77"/>
      <c r="O280" s="77"/>
    </row>
    <row r="281" spans="1:15" ht="15.75">
      <c r="A281" s="797"/>
      <c r="B281" s="77"/>
      <c r="C281" s="77"/>
      <c r="D281" s="77"/>
      <c r="E281" s="77"/>
      <c r="F281" s="77"/>
      <c r="G281" s="77"/>
      <c r="H281" s="86"/>
      <c r="I281" s="77"/>
      <c r="J281" s="77"/>
      <c r="K281" s="77"/>
      <c r="L281" s="77"/>
      <c r="M281" s="77"/>
      <c r="N281" s="77"/>
      <c r="O281" s="77"/>
    </row>
    <row r="282" spans="1:15" ht="15.75">
      <c r="A282" s="797"/>
      <c r="B282" s="77"/>
      <c r="C282" s="77"/>
      <c r="D282" s="77"/>
      <c r="E282" s="77"/>
      <c r="F282" s="77"/>
      <c r="G282" s="77"/>
      <c r="H282" s="86"/>
      <c r="I282" s="77"/>
      <c r="J282" s="77"/>
      <c r="K282" s="77"/>
      <c r="L282" s="77"/>
      <c r="M282" s="77"/>
      <c r="N282" s="77"/>
      <c r="O282" s="77"/>
    </row>
    <row r="283" spans="1:15" ht="15.75">
      <c r="A283" s="797"/>
      <c r="B283" s="77"/>
      <c r="C283" s="77"/>
      <c r="D283" s="77"/>
      <c r="E283" s="77"/>
      <c r="F283" s="77"/>
      <c r="G283" s="77"/>
      <c r="H283" s="86"/>
      <c r="I283" s="77"/>
      <c r="J283" s="77"/>
      <c r="K283" s="77"/>
      <c r="L283" s="77"/>
      <c r="M283" s="77"/>
      <c r="N283" s="77"/>
      <c r="O283" s="77"/>
    </row>
    <row r="284" spans="1:15" ht="15.75">
      <c r="A284" s="797"/>
      <c r="B284" s="77"/>
      <c r="C284" s="77"/>
      <c r="D284" s="77"/>
      <c r="E284" s="77"/>
      <c r="F284" s="77"/>
      <c r="G284" s="77"/>
      <c r="H284" s="86"/>
      <c r="I284" s="77"/>
      <c r="J284" s="77"/>
      <c r="K284" s="77"/>
      <c r="L284" s="77"/>
      <c r="M284" s="77"/>
      <c r="N284" s="77"/>
      <c r="O284" s="77"/>
    </row>
    <row r="285" spans="1:15" ht="15.75">
      <c r="A285" s="797"/>
      <c r="B285" s="77"/>
      <c r="C285" s="77"/>
      <c r="D285" s="77"/>
      <c r="E285" s="77"/>
      <c r="F285" s="77"/>
      <c r="G285" s="77"/>
      <c r="H285" s="86"/>
      <c r="I285" s="77"/>
      <c r="J285" s="77"/>
      <c r="K285" s="77"/>
      <c r="L285" s="77"/>
      <c r="M285" s="77"/>
      <c r="N285" s="77"/>
      <c r="O285" s="77"/>
    </row>
    <row r="286" spans="1:15" ht="15.75">
      <c r="A286" s="797"/>
      <c r="B286" s="77"/>
      <c r="C286" s="77"/>
      <c r="D286" s="77"/>
      <c r="E286" s="77"/>
      <c r="F286" s="77"/>
      <c r="G286" s="77"/>
      <c r="H286" s="86"/>
      <c r="I286" s="77"/>
      <c r="J286" s="77"/>
      <c r="K286" s="77"/>
      <c r="L286" s="77"/>
      <c r="M286" s="77"/>
      <c r="N286" s="77"/>
      <c r="O286" s="77"/>
    </row>
    <row r="287" spans="1:15" ht="15.75">
      <c r="A287" s="797"/>
      <c r="B287" s="77"/>
      <c r="C287" s="77"/>
      <c r="D287" s="77"/>
      <c r="E287" s="77"/>
      <c r="F287" s="77"/>
      <c r="G287" s="77"/>
      <c r="H287" s="86"/>
      <c r="I287" s="77"/>
      <c r="J287" s="77"/>
      <c r="K287" s="77"/>
      <c r="L287" s="77"/>
      <c r="M287" s="77"/>
      <c r="N287" s="77"/>
      <c r="O287" s="77"/>
    </row>
    <row r="288" spans="1:15" ht="15.75">
      <c r="A288" s="797"/>
      <c r="B288" s="77"/>
      <c r="C288" s="77"/>
      <c r="D288" s="77"/>
      <c r="E288" s="77"/>
      <c r="F288" s="77"/>
      <c r="G288" s="77"/>
      <c r="H288" s="86"/>
      <c r="I288" s="77"/>
      <c r="J288" s="77"/>
      <c r="K288" s="77"/>
      <c r="L288" s="77"/>
      <c r="M288" s="77"/>
      <c r="N288" s="77"/>
      <c r="O288" s="77"/>
    </row>
    <row r="289" spans="1:15" ht="15.75">
      <c r="A289" s="797"/>
      <c r="B289" s="77"/>
      <c r="C289" s="77"/>
      <c r="D289" s="77"/>
      <c r="E289" s="77"/>
      <c r="F289" s="77"/>
      <c r="G289" s="77"/>
      <c r="H289" s="86"/>
      <c r="I289" s="77"/>
      <c r="J289" s="77"/>
      <c r="K289" s="77"/>
      <c r="L289" s="77"/>
      <c r="M289" s="77"/>
      <c r="N289" s="77"/>
      <c r="O289" s="77"/>
    </row>
    <row r="290" spans="1:15" ht="15.75">
      <c r="A290" s="797"/>
      <c r="B290" s="77"/>
      <c r="C290" s="77"/>
      <c r="D290" s="77"/>
      <c r="E290" s="77"/>
      <c r="F290" s="77"/>
      <c r="G290" s="77"/>
      <c r="H290" s="86"/>
      <c r="I290" s="77"/>
      <c r="J290" s="77"/>
      <c r="K290" s="77"/>
      <c r="L290" s="77"/>
      <c r="M290" s="77"/>
      <c r="N290" s="77"/>
      <c r="O290" s="77"/>
    </row>
    <row r="291" spans="1:15" ht="15.75">
      <c r="A291" s="797"/>
      <c r="B291" s="77"/>
      <c r="C291" s="77"/>
      <c r="D291" s="77"/>
      <c r="E291" s="77"/>
      <c r="F291" s="77"/>
      <c r="G291" s="77"/>
      <c r="H291" s="86"/>
      <c r="I291" s="77"/>
      <c r="J291" s="77"/>
      <c r="K291" s="77"/>
      <c r="L291" s="77"/>
      <c r="M291" s="77"/>
      <c r="N291" s="77"/>
      <c r="O291" s="77"/>
    </row>
    <row r="292" spans="1:15" ht="15.75">
      <c r="A292" s="797"/>
      <c r="B292" s="77"/>
      <c r="C292" s="77"/>
      <c r="D292" s="77"/>
      <c r="E292" s="77"/>
      <c r="F292" s="77"/>
      <c r="G292" s="77"/>
      <c r="H292" s="86"/>
      <c r="I292" s="77"/>
      <c r="J292" s="77"/>
      <c r="K292" s="77"/>
      <c r="L292" s="77"/>
      <c r="M292" s="77"/>
      <c r="N292" s="77"/>
      <c r="O292" s="77"/>
    </row>
    <row r="293" spans="1:15" ht="15.75">
      <c r="A293" s="797"/>
      <c r="B293" s="77"/>
      <c r="C293" s="77"/>
      <c r="D293" s="77"/>
      <c r="E293" s="77"/>
      <c r="F293" s="77"/>
      <c r="G293" s="77"/>
      <c r="H293" s="86"/>
      <c r="I293" s="77"/>
      <c r="J293" s="77"/>
      <c r="K293" s="77"/>
      <c r="L293" s="77"/>
      <c r="M293" s="77"/>
      <c r="N293" s="77"/>
      <c r="O293" s="77"/>
    </row>
    <row r="294" spans="1:15" ht="15.75">
      <c r="A294" s="797"/>
      <c r="B294" s="77"/>
      <c r="C294" s="77"/>
      <c r="D294" s="77"/>
      <c r="E294" s="77"/>
      <c r="F294" s="77"/>
      <c r="G294" s="77"/>
      <c r="H294" s="86"/>
      <c r="I294" s="77"/>
      <c r="J294" s="77"/>
      <c r="K294" s="77"/>
      <c r="L294" s="77"/>
      <c r="M294" s="77"/>
      <c r="N294" s="77"/>
      <c r="O294" s="77"/>
    </row>
    <row r="295" spans="1:15" ht="15.75">
      <c r="A295" s="797"/>
      <c r="B295" s="77"/>
      <c r="C295" s="77"/>
      <c r="D295" s="77"/>
      <c r="E295" s="77"/>
      <c r="F295" s="77"/>
      <c r="G295" s="77"/>
      <c r="H295" s="86"/>
      <c r="I295" s="77"/>
      <c r="J295" s="77"/>
      <c r="K295" s="77"/>
      <c r="L295" s="77"/>
      <c r="M295" s="77"/>
      <c r="N295" s="77"/>
      <c r="O295" s="77"/>
    </row>
    <row r="296" spans="1:15" ht="15.75">
      <c r="A296" s="797"/>
      <c r="B296" s="77"/>
      <c r="C296" s="77"/>
      <c r="D296" s="77"/>
      <c r="E296" s="77"/>
      <c r="F296" s="77"/>
      <c r="G296" s="77"/>
      <c r="H296" s="86"/>
      <c r="I296" s="77"/>
      <c r="J296" s="77"/>
      <c r="K296" s="77"/>
      <c r="L296" s="77"/>
      <c r="M296" s="77"/>
      <c r="N296" s="77"/>
      <c r="O296" s="77"/>
    </row>
    <row r="297" spans="1:15" ht="15.75">
      <c r="A297" s="797"/>
      <c r="B297" s="77"/>
      <c r="C297" s="77"/>
      <c r="D297" s="77"/>
      <c r="E297" s="77"/>
      <c r="F297" s="77"/>
      <c r="G297" s="77"/>
      <c r="H297" s="86"/>
      <c r="I297" s="77"/>
      <c r="J297" s="77"/>
      <c r="K297" s="77"/>
      <c r="L297" s="77"/>
      <c r="M297" s="77"/>
      <c r="N297" s="77"/>
      <c r="O297" s="77"/>
    </row>
    <row r="298" spans="1:15" ht="15.75">
      <c r="A298" s="797"/>
      <c r="B298" s="77"/>
      <c r="C298" s="77"/>
      <c r="D298" s="77"/>
      <c r="E298" s="77"/>
      <c r="F298" s="77"/>
      <c r="G298" s="77"/>
      <c r="H298" s="86"/>
      <c r="I298" s="77"/>
      <c r="J298" s="77"/>
      <c r="K298" s="77"/>
      <c r="L298" s="77"/>
      <c r="M298" s="77"/>
      <c r="N298" s="77"/>
      <c r="O298" s="77"/>
    </row>
    <row r="299" spans="1:15" ht="15.75">
      <c r="A299" s="797"/>
      <c r="B299" s="77"/>
      <c r="C299" s="77"/>
      <c r="D299" s="77"/>
      <c r="E299" s="77"/>
      <c r="F299" s="77"/>
      <c r="G299" s="77"/>
      <c r="H299" s="86"/>
      <c r="I299" s="77"/>
      <c r="J299" s="77"/>
      <c r="K299" s="77"/>
      <c r="L299" s="77"/>
      <c r="M299" s="77"/>
      <c r="N299" s="77"/>
      <c r="O299" s="77"/>
    </row>
    <row r="300" spans="1:15" ht="15.75">
      <c r="A300" s="797"/>
      <c r="B300" s="77"/>
      <c r="C300" s="77"/>
      <c r="D300" s="77"/>
      <c r="E300" s="77"/>
      <c r="F300" s="77"/>
      <c r="G300" s="77"/>
      <c r="H300" s="86"/>
      <c r="I300" s="77"/>
      <c r="J300" s="77"/>
      <c r="K300" s="77"/>
      <c r="L300" s="77"/>
      <c r="M300" s="77"/>
      <c r="N300" s="77"/>
      <c r="O300" s="77"/>
    </row>
    <row r="301" spans="1:15" ht="15.75">
      <c r="A301" s="797"/>
      <c r="B301" s="77"/>
      <c r="C301" s="77"/>
      <c r="D301" s="77"/>
      <c r="E301" s="77"/>
      <c r="F301" s="77"/>
      <c r="G301" s="77"/>
      <c r="H301" s="86"/>
      <c r="I301" s="77"/>
      <c r="J301" s="77"/>
      <c r="K301" s="77"/>
      <c r="L301" s="77"/>
      <c r="M301" s="77"/>
      <c r="N301" s="77"/>
      <c r="O301" s="77"/>
    </row>
    <row r="302" spans="1:15" ht="15.75">
      <c r="A302" s="797"/>
      <c r="B302" s="77"/>
      <c r="C302" s="77"/>
      <c r="D302" s="77"/>
      <c r="E302" s="77"/>
      <c r="F302" s="77"/>
      <c r="G302" s="77"/>
      <c r="H302" s="86"/>
      <c r="I302" s="77"/>
      <c r="J302" s="77"/>
      <c r="K302" s="77"/>
      <c r="L302" s="77"/>
      <c r="M302" s="77"/>
      <c r="N302" s="77"/>
      <c r="O302" s="77"/>
    </row>
    <row r="303" spans="1:15" ht="15.75">
      <c r="A303" s="797"/>
      <c r="B303" s="77"/>
      <c r="C303" s="77"/>
      <c r="D303" s="77"/>
      <c r="E303" s="77"/>
      <c r="F303" s="77"/>
      <c r="G303" s="77"/>
      <c r="H303" s="86"/>
      <c r="I303" s="77"/>
      <c r="J303" s="77"/>
      <c r="K303" s="77"/>
      <c r="L303" s="77"/>
      <c r="M303" s="77"/>
      <c r="N303" s="77"/>
      <c r="O303" s="77"/>
    </row>
    <row r="304" spans="1:15" ht="15.75">
      <c r="A304" s="797"/>
      <c r="B304" s="77"/>
      <c r="C304" s="77"/>
      <c r="D304" s="77"/>
      <c r="E304" s="77"/>
      <c r="F304" s="77"/>
      <c r="G304" s="77"/>
      <c r="H304" s="86"/>
      <c r="I304" s="77"/>
      <c r="J304" s="77"/>
      <c r="K304" s="77"/>
      <c r="L304" s="77"/>
      <c r="M304" s="77"/>
      <c r="N304" s="77"/>
      <c r="O304" s="77"/>
    </row>
    <row r="305" spans="1:15" ht="15.75">
      <c r="A305" s="797"/>
      <c r="B305" s="77"/>
      <c r="C305" s="77"/>
      <c r="D305" s="77"/>
      <c r="E305" s="77"/>
      <c r="F305" s="77"/>
      <c r="G305" s="77"/>
      <c r="H305" s="86"/>
      <c r="I305" s="77"/>
      <c r="J305" s="77"/>
      <c r="K305" s="77"/>
      <c r="L305" s="77"/>
      <c r="M305" s="77"/>
      <c r="N305" s="77"/>
      <c r="O305" s="77"/>
    </row>
    <row r="306" spans="1:15" ht="15.75">
      <c r="A306" s="797"/>
      <c r="B306" s="77"/>
      <c r="C306" s="77"/>
      <c r="D306" s="77"/>
      <c r="E306" s="77"/>
      <c r="F306" s="77"/>
      <c r="G306" s="77"/>
      <c r="H306" s="86"/>
      <c r="I306" s="77"/>
      <c r="J306" s="77"/>
      <c r="K306" s="77"/>
      <c r="L306" s="77"/>
      <c r="M306" s="77"/>
      <c r="N306" s="77"/>
      <c r="O306" s="77"/>
    </row>
    <row r="307" spans="1:15" ht="15.75">
      <c r="A307" s="797"/>
      <c r="B307" s="77"/>
      <c r="C307" s="77"/>
      <c r="D307" s="77"/>
      <c r="E307" s="77"/>
      <c r="F307" s="77"/>
      <c r="G307" s="77"/>
      <c r="H307" s="86"/>
      <c r="I307" s="77"/>
      <c r="J307" s="77"/>
      <c r="K307" s="77"/>
      <c r="L307" s="77"/>
      <c r="M307" s="77"/>
      <c r="N307" s="77"/>
      <c r="O307" s="77"/>
    </row>
    <row r="308" spans="1:15" ht="15.75">
      <c r="A308" s="797"/>
      <c r="B308" s="77"/>
      <c r="C308" s="77"/>
      <c r="D308" s="77"/>
      <c r="E308" s="77"/>
      <c r="F308" s="77"/>
      <c r="G308" s="77"/>
      <c r="H308" s="86"/>
      <c r="I308" s="77"/>
      <c r="J308" s="77"/>
      <c r="K308" s="77"/>
      <c r="L308" s="77"/>
      <c r="M308" s="77"/>
      <c r="N308" s="77"/>
      <c r="O308" s="77"/>
    </row>
    <row r="309" spans="1:15" ht="15.75">
      <c r="A309" s="797"/>
      <c r="B309" s="77"/>
      <c r="C309" s="77"/>
      <c r="D309" s="77"/>
      <c r="E309" s="77"/>
      <c r="F309" s="77"/>
      <c r="G309" s="77"/>
      <c r="H309" s="86"/>
      <c r="I309" s="77"/>
      <c r="J309" s="77"/>
      <c r="K309" s="77"/>
      <c r="L309" s="77"/>
      <c r="M309" s="77"/>
      <c r="N309" s="77"/>
      <c r="O309" s="77"/>
    </row>
    <row r="310" spans="1:15" ht="15.75">
      <c r="A310" s="797"/>
      <c r="B310" s="77"/>
      <c r="C310" s="77"/>
      <c r="D310" s="77"/>
      <c r="E310" s="77"/>
      <c r="F310" s="77"/>
      <c r="G310" s="77"/>
      <c r="H310" s="86"/>
      <c r="I310" s="77"/>
      <c r="J310" s="77"/>
      <c r="K310" s="77"/>
      <c r="L310" s="77"/>
      <c r="M310" s="77"/>
      <c r="N310" s="77"/>
      <c r="O310" s="77"/>
    </row>
    <row r="311" spans="1:15" ht="15.75">
      <c r="A311" s="797"/>
      <c r="B311" s="77"/>
      <c r="C311" s="77"/>
      <c r="D311" s="77"/>
      <c r="E311" s="77"/>
      <c r="F311" s="77"/>
      <c r="G311" s="77"/>
      <c r="H311" s="86"/>
      <c r="I311" s="77"/>
      <c r="J311" s="77"/>
      <c r="K311" s="77"/>
      <c r="L311" s="77"/>
      <c r="M311" s="77"/>
      <c r="N311" s="77"/>
      <c r="O311" s="77"/>
    </row>
    <row r="312" spans="1:15" ht="15.75">
      <c r="A312" s="797"/>
      <c r="B312" s="77"/>
      <c r="C312" s="77"/>
      <c r="D312" s="77"/>
      <c r="E312" s="77"/>
      <c r="F312" s="77"/>
      <c r="G312" s="77"/>
      <c r="H312" s="86"/>
      <c r="I312" s="77"/>
      <c r="J312" s="77"/>
      <c r="K312" s="77"/>
      <c r="L312" s="77"/>
      <c r="M312" s="77"/>
      <c r="N312" s="77"/>
      <c r="O312" s="77"/>
    </row>
    <row r="313" spans="1:15" ht="15.75">
      <c r="A313" s="797"/>
      <c r="B313" s="77"/>
      <c r="C313" s="77"/>
      <c r="D313" s="77"/>
      <c r="E313" s="77"/>
      <c r="F313" s="77"/>
      <c r="G313" s="77"/>
      <c r="H313" s="86"/>
      <c r="I313" s="77"/>
      <c r="J313" s="77"/>
      <c r="K313" s="77"/>
      <c r="L313" s="77"/>
      <c r="M313" s="77"/>
      <c r="N313" s="77"/>
      <c r="O313" s="77"/>
    </row>
    <row r="314" spans="1:15" ht="15.75">
      <c r="A314" s="797"/>
      <c r="B314" s="77"/>
      <c r="C314" s="77"/>
      <c r="D314" s="77"/>
      <c r="E314" s="77"/>
      <c r="F314" s="77"/>
      <c r="G314" s="77"/>
      <c r="H314" s="86"/>
      <c r="I314" s="77"/>
      <c r="J314" s="77"/>
      <c r="K314" s="77"/>
      <c r="L314" s="77"/>
      <c r="M314" s="77"/>
      <c r="N314" s="77"/>
      <c r="O314" s="77"/>
    </row>
    <row r="315" spans="1:15" ht="15.75">
      <c r="A315" s="797"/>
      <c r="B315" s="77"/>
      <c r="C315" s="77"/>
      <c r="D315" s="77"/>
      <c r="E315" s="77"/>
      <c r="F315" s="77"/>
      <c r="G315" s="77"/>
      <c r="H315" s="86"/>
      <c r="I315" s="77"/>
      <c r="J315" s="77"/>
      <c r="K315" s="77"/>
      <c r="L315" s="77"/>
      <c r="M315" s="77"/>
      <c r="N315" s="77"/>
      <c r="O315" s="77"/>
    </row>
    <row r="316" spans="1:15" ht="15.75">
      <c r="A316" s="797"/>
      <c r="B316" s="77"/>
      <c r="C316" s="77"/>
      <c r="D316" s="77"/>
      <c r="E316" s="77"/>
      <c r="F316" s="77"/>
      <c r="G316" s="77"/>
      <c r="H316" s="86"/>
      <c r="I316" s="77"/>
      <c r="J316" s="77"/>
      <c r="K316" s="77"/>
      <c r="L316" s="77"/>
      <c r="M316" s="77"/>
      <c r="N316" s="77"/>
      <c r="O316" s="77"/>
    </row>
    <row r="317" spans="1:15" ht="15.75">
      <c r="A317" s="797"/>
      <c r="B317" s="77"/>
      <c r="C317" s="77"/>
      <c r="D317" s="77"/>
      <c r="E317" s="77"/>
      <c r="F317" s="77"/>
      <c r="G317" s="77"/>
      <c r="H317" s="86"/>
      <c r="I317" s="77"/>
      <c r="J317" s="77"/>
      <c r="K317" s="77"/>
      <c r="L317" s="77"/>
      <c r="M317" s="77"/>
      <c r="N317" s="77"/>
      <c r="O317" s="77"/>
    </row>
    <row r="318" spans="1:15" ht="15.75">
      <c r="A318" s="797"/>
      <c r="B318" s="77"/>
      <c r="C318" s="77"/>
      <c r="D318" s="77"/>
      <c r="E318" s="77"/>
      <c r="F318" s="77"/>
      <c r="G318" s="77"/>
      <c r="H318" s="86"/>
      <c r="I318" s="77"/>
      <c r="J318" s="77"/>
      <c r="K318" s="77"/>
      <c r="L318" s="77"/>
      <c r="M318" s="77"/>
      <c r="N318" s="77"/>
      <c r="O318" s="77"/>
    </row>
    <row r="319" spans="1:15" ht="15.75">
      <c r="A319" s="797"/>
      <c r="B319" s="77"/>
      <c r="C319" s="77"/>
      <c r="D319" s="77"/>
      <c r="E319" s="77"/>
      <c r="F319" s="77"/>
      <c r="G319" s="77"/>
      <c r="H319" s="86"/>
      <c r="I319" s="77"/>
      <c r="J319" s="77"/>
      <c r="K319" s="77"/>
      <c r="L319" s="77"/>
      <c r="M319" s="77"/>
      <c r="N319" s="77"/>
      <c r="O319" s="77"/>
    </row>
    <row r="320" spans="1:15" ht="15.75">
      <c r="A320" s="797"/>
      <c r="B320" s="77"/>
      <c r="C320" s="77"/>
      <c r="D320" s="77"/>
      <c r="E320" s="77"/>
      <c r="F320" s="77"/>
      <c r="G320" s="77"/>
      <c r="H320" s="86"/>
      <c r="I320" s="77"/>
      <c r="J320" s="77"/>
      <c r="K320" s="77"/>
      <c r="L320" s="77"/>
      <c r="M320" s="77"/>
      <c r="N320" s="77"/>
      <c r="O320" s="77"/>
    </row>
    <row r="321" spans="1:15" ht="15.75">
      <c r="A321" s="797"/>
      <c r="B321" s="77"/>
      <c r="C321" s="77"/>
      <c r="D321" s="77"/>
      <c r="E321" s="77"/>
      <c r="F321" s="77"/>
      <c r="G321" s="77"/>
      <c r="H321" s="86"/>
      <c r="I321" s="77"/>
      <c r="J321" s="77"/>
      <c r="K321" s="77"/>
      <c r="L321" s="77"/>
      <c r="M321" s="77"/>
      <c r="N321" s="77"/>
      <c r="O321" s="77"/>
    </row>
    <row r="322" spans="1:15" ht="15.75">
      <c r="A322" s="797"/>
      <c r="B322" s="77"/>
      <c r="C322" s="77"/>
      <c r="D322" s="77"/>
      <c r="E322" s="77"/>
      <c r="F322" s="77"/>
      <c r="G322" s="77"/>
      <c r="H322" s="86"/>
      <c r="I322" s="77"/>
      <c r="J322" s="77"/>
      <c r="K322" s="77"/>
      <c r="L322" s="77"/>
      <c r="M322" s="77"/>
      <c r="N322" s="77"/>
      <c r="O322" s="77"/>
    </row>
    <row r="323" spans="1:15" ht="15.75">
      <c r="A323" s="797"/>
      <c r="B323" s="77"/>
      <c r="C323" s="77"/>
      <c r="D323" s="77"/>
      <c r="E323" s="77"/>
      <c r="F323" s="77"/>
      <c r="G323" s="77"/>
      <c r="H323" s="86"/>
      <c r="I323" s="77"/>
      <c r="J323" s="77"/>
      <c r="K323" s="77"/>
      <c r="L323" s="77"/>
      <c r="M323" s="77"/>
      <c r="N323" s="77"/>
      <c r="O323" s="77"/>
    </row>
    <row r="324" spans="1:15" ht="15.75">
      <c r="A324" s="797"/>
      <c r="B324" s="77"/>
      <c r="C324" s="77"/>
      <c r="D324" s="77"/>
      <c r="E324" s="77"/>
      <c r="F324" s="77"/>
      <c r="G324" s="77"/>
      <c r="H324" s="86"/>
      <c r="I324" s="77"/>
      <c r="J324" s="77"/>
      <c r="K324" s="77"/>
      <c r="L324" s="77"/>
      <c r="M324" s="77"/>
      <c r="N324" s="77"/>
      <c r="O324" s="77"/>
    </row>
    <row r="325" spans="1:15" ht="15.75">
      <c r="A325" s="797"/>
      <c r="B325" s="77"/>
      <c r="C325" s="77"/>
      <c r="D325" s="77"/>
      <c r="E325" s="77"/>
      <c r="F325" s="77"/>
      <c r="G325" s="77"/>
      <c r="H325" s="86"/>
      <c r="I325" s="77"/>
      <c r="J325" s="77"/>
      <c r="K325" s="77"/>
      <c r="L325" s="77"/>
      <c r="M325" s="77"/>
      <c r="N325" s="77"/>
      <c r="O325" s="77"/>
    </row>
    <row r="326" spans="1:15" ht="15.75">
      <c r="A326" s="797"/>
      <c r="B326" s="77"/>
      <c r="C326" s="77"/>
      <c r="D326" s="77"/>
      <c r="E326" s="77"/>
      <c r="F326" s="77"/>
      <c r="G326" s="77"/>
      <c r="H326" s="86"/>
      <c r="I326" s="77"/>
      <c r="J326" s="77"/>
      <c r="K326" s="77"/>
      <c r="L326" s="77"/>
      <c r="M326" s="77"/>
      <c r="N326" s="77"/>
      <c r="O326" s="77"/>
    </row>
    <row r="327" spans="1:15" ht="15.75">
      <c r="A327" s="797"/>
      <c r="B327" s="77"/>
      <c r="C327" s="77"/>
      <c r="D327" s="77"/>
      <c r="E327" s="77"/>
      <c r="F327" s="77"/>
      <c r="G327" s="77"/>
      <c r="H327" s="86"/>
      <c r="I327" s="77"/>
      <c r="J327" s="77"/>
      <c r="K327" s="77"/>
      <c r="L327" s="77"/>
      <c r="M327" s="77"/>
      <c r="N327" s="77"/>
      <c r="O327" s="77"/>
    </row>
    <row r="328" spans="1:15" ht="15.75">
      <c r="A328" s="797"/>
      <c r="B328" s="77"/>
      <c r="C328" s="77"/>
      <c r="D328" s="77"/>
      <c r="E328" s="77"/>
      <c r="F328" s="77"/>
      <c r="G328" s="77"/>
      <c r="H328" s="86"/>
      <c r="I328" s="77"/>
      <c r="J328" s="77"/>
      <c r="K328" s="77"/>
      <c r="L328" s="77"/>
      <c r="M328" s="77"/>
      <c r="N328" s="77"/>
      <c r="O328" s="77"/>
    </row>
    <row r="329" spans="1:15" ht="15.75">
      <c r="A329" s="797"/>
      <c r="B329" s="77"/>
      <c r="C329" s="77"/>
      <c r="D329" s="77"/>
      <c r="E329" s="77"/>
      <c r="F329" s="77"/>
      <c r="G329" s="77"/>
      <c r="H329" s="86"/>
      <c r="I329" s="77"/>
      <c r="J329" s="77"/>
      <c r="K329" s="77"/>
      <c r="L329" s="77"/>
      <c r="M329" s="77"/>
      <c r="N329" s="77"/>
      <c r="O329" s="77"/>
    </row>
    <row r="330" spans="1:15" ht="15.75">
      <c r="A330" s="797"/>
      <c r="B330" s="77"/>
      <c r="C330" s="77"/>
      <c r="D330" s="77"/>
      <c r="E330" s="77"/>
      <c r="F330" s="77"/>
      <c r="G330" s="77"/>
      <c r="H330" s="86"/>
      <c r="I330" s="77"/>
      <c r="J330" s="77"/>
      <c r="K330" s="77"/>
      <c r="L330" s="77"/>
      <c r="M330" s="77"/>
      <c r="N330" s="77"/>
      <c r="O330" s="77"/>
    </row>
    <row r="331" spans="1:15" ht="15.75">
      <c r="A331" s="797"/>
      <c r="B331" s="77"/>
      <c r="C331" s="77"/>
      <c r="D331" s="77"/>
      <c r="E331" s="77"/>
      <c r="F331" s="77"/>
      <c r="G331" s="77"/>
      <c r="H331" s="86"/>
      <c r="I331" s="77"/>
      <c r="J331" s="77"/>
      <c r="K331" s="77"/>
      <c r="L331" s="77"/>
      <c r="M331" s="77"/>
      <c r="N331" s="77"/>
      <c r="O331" s="77"/>
    </row>
    <row r="332" spans="1:15" ht="15.75">
      <c r="A332" s="797"/>
      <c r="B332" s="77"/>
      <c r="C332" s="77"/>
      <c r="D332" s="77"/>
      <c r="E332" s="77"/>
      <c r="F332" s="77"/>
      <c r="G332" s="77"/>
      <c r="H332" s="86"/>
      <c r="I332" s="77"/>
      <c r="J332" s="77"/>
      <c r="K332" s="77"/>
      <c r="L332" s="77"/>
      <c r="M332" s="77"/>
      <c r="N332" s="77"/>
      <c r="O332" s="77"/>
    </row>
    <row r="333" spans="1:15" ht="15.75">
      <c r="A333" s="797"/>
      <c r="B333" s="77"/>
      <c r="C333" s="77"/>
      <c r="D333" s="77"/>
      <c r="E333" s="77"/>
      <c r="F333" s="77"/>
      <c r="G333" s="77"/>
      <c r="H333" s="86"/>
      <c r="I333" s="77"/>
      <c r="J333" s="77"/>
      <c r="K333" s="77"/>
      <c r="L333" s="77"/>
      <c r="M333" s="77"/>
      <c r="N333" s="77"/>
      <c r="O333" s="77"/>
    </row>
    <row r="334" spans="1:15" ht="15.75">
      <c r="A334" s="797"/>
      <c r="B334" s="77"/>
      <c r="C334" s="77"/>
      <c r="D334" s="77"/>
      <c r="E334" s="77"/>
      <c r="F334" s="77"/>
      <c r="G334" s="77"/>
      <c r="H334" s="86"/>
      <c r="I334" s="77"/>
      <c r="J334" s="77"/>
      <c r="K334" s="77"/>
      <c r="L334" s="77"/>
      <c r="M334" s="77"/>
      <c r="N334" s="77"/>
      <c r="O334" s="77"/>
    </row>
    <row r="335" spans="1:15" ht="15.75">
      <c r="A335" s="797"/>
      <c r="B335" s="77"/>
      <c r="C335" s="77"/>
      <c r="D335" s="77"/>
      <c r="E335" s="77"/>
      <c r="F335" s="77"/>
      <c r="G335" s="77"/>
      <c r="H335" s="86"/>
      <c r="I335" s="77"/>
      <c r="J335" s="77"/>
      <c r="K335" s="77"/>
      <c r="L335" s="77"/>
      <c r="M335" s="77"/>
      <c r="N335" s="77"/>
      <c r="O335" s="77"/>
    </row>
    <row r="336" spans="1:15" ht="15.75">
      <c r="A336" s="797"/>
      <c r="B336" s="77"/>
      <c r="C336" s="77"/>
      <c r="D336" s="77"/>
      <c r="E336" s="77"/>
      <c r="F336" s="77"/>
      <c r="G336" s="77"/>
      <c r="H336" s="86"/>
      <c r="I336" s="77"/>
      <c r="J336" s="77"/>
      <c r="K336" s="77"/>
      <c r="L336" s="77"/>
      <c r="M336" s="77"/>
      <c r="N336" s="77"/>
      <c r="O336" s="77"/>
    </row>
    <row r="337" spans="1:15" ht="15.75">
      <c r="A337" s="797"/>
      <c r="B337" s="77"/>
      <c r="C337" s="77"/>
      <c r="D337" s="77"/>
      <c r="E337" s="77"/>
      <c r="F337" s="77"/>
      <c r="G337" s="77"/>
      <c r="H337" s="86"/>
      <c r="I337" s="77"/>
      <c r="J337" s="77"/>
      <c r="K337" s="77"/>
      <c r="L337" s="77"/>
      <c r="M337" s="77"/>
      <c r="N337" s="77"/>
      <c r="O337" s="77"/>
    </row>
    <row r="338" spans="1:15" ht="15.75">
      <c r="A338" s="797"/>
      <c r="B338" s="77"/>
      <c r="C338" s="77"/>
      <c r="D338" s="77"/>
      <c r="E338" s="77"/>
      <c r="F338" s="77"/>
      <c r="G338" s="77"/>
      <c r="H338" s="86"/>
      <c r="I338" s="77"/>
      <c r="J338" s="77"/>
      <c r="K338" s="77"/>
      <c r="L338" s="77"/>
      <c r="M338" s="77"/>
      <c r="N338" s="77"/>
      <c r="O338" s="77"/>
    </row>
    <row r="339" spans="1:15" ht="15.75">
      <c r="A339" s="797"/>
      <c r="B339" s="77"/>
      <c r="C339" s="77"/>
      <c r="D339" s="77"/>
      <c r="E339" s="77"/>
      <c r="F339" s="77"/>
      <c r="G339" s="77"/>
      <c r="H339" s="86"/>
      <c r="I339" s="77"/>
      <c r="J339" s="77"/>
      <c r="K339" s="77"/>
      <c r="L339" s="77"/>
      <c r="M339" s="77"/>
      <c r="N339" s="77"/>
      <c r="O339" s="77"/>
    </row>
    <row r="340" spans="1:15" ht="15.75">
      <c r="A340" s="797"/>
      <c r="B340" s="77"/>
      <c r="C340" s="77"/>
      <c r="D340" s="77"/>
      <c r="E340" s="77"/>
      <c r="F340" s="77"/>
      <c r="G340" s="77"/>
      <c r="H340" s="86"/>
      <c r="I340" s="77"/>
      <c r="J340" s="77"/>
      <c r="K340" s="77"/>
      <c r="L340" s="77"/>
      <c r="M340" s="77"/>
      <c r="N340" s="77"/>
      <c r="O340" s="77"/>
    </row>
    <row r="341" spans="1:15" ht="15.75">
      <c r="A341" s="797"/>
      <c r="B341" s="77"/>
      <c r="C341" s="77"/>
      <c r="D341" s="77"/>
      <c r="E341" s="77"/>
      <c r="F341" s="77"/>
      <c r="G341" s="77"/>
      <c r="H341" s="86"/>
      <c r="I341" s="77"/>
      <c r="J341" s="77"/>
      <c r="K341" s="77"/>
      <c r="L341" s="77"/>
      <c r="M341" s="77"/>
      <c r="N341" s="77"/>
      <c r="O341" s="77"/>
    </row>
    <row r="342" spans="1:15" ht="15.75">
      <c r="A342" s="797"/>
      <c r="B342" s="77"/>
      <c r="C342" s="77"/>
      <c r="D342" s="77"/>
      <c r="E342" s="77"/>
      <c r="F342" s="77"/>
      <c r="G342" s="77"/>
      <c r="H342" s="86"/>
      <c r="I342" s="77"/>
      <c r="J342" s="77"/>
      <c r="K342" s="77"/>
      <c r="L342" s="77"/>
      <c r="M342" s="77"/>
      <c r="N342" s="77"/>
      <c r="O342" s="77"/>
    </row>
    <row r="343" spans="1:15" ht="15.75">
      <c r="A343" s="797"/>
      <c r="B343" s="77"/>
      <c r="C343" s="77"/>
      <c r="D343" s="77"/>
      <c r="E343" s="77"/>
      <c r="F343" s="77"/>
      <c r="G343" s="77"/>
      <c r="H343" s="86"/>
      <c r="I343" s="77"/>
      <c r="J343" s="77"/>
      <c r="K343" s="77"/>
      <c r="L343" s="77"/>
      <c r="M343" s="77"/>
      <c r="N343" s="77"/>
      <c r="O343" s="77"/>
    </row>
    <row r="344" spans="1:15" ht="15.75">
      <c r="A344" s="797"/>
      <c r="B344" s="77"/>
      <c r="C344" s="77"/>
      <c r="D344" s="77"/>
      <c r="E344" s="77"/>
      <c r="F344" s="77"/>
      <c r="G344" s="77"/>
      <c r="H344" s="86"/>
      <c r="I344" s="77"/>
      <c r="J344" s="77"/>
      <c r="K344" s="77"/>
      <c r="L344" s="77"/>
      <c r="M344" s="77"/>
      <c r="N344" s="77"/>
      <c r="O344" s="77"/>
    </row>
    <row r="345" spans="1:15" ht="15.75">
      <c r="A345" s="797"/>
      <c r="B345" s="77"/>
      <c r="C345" s="77"/>
      <c r="D345" s="77"/>
      <c r="E345" s="77"/>
      <c r="F345" s="77"/>
      <c r="G345" s="77"/>
      <c r="H345" s="86"/>
      <c r="I345" s="77"/>
      <c r="J345" s="77"/>
      <c r="K345" s="77"/>
      <c r="L345" s="77"/>
      <c r="M345" s="77"/>
      <c r="N345" s="77"/>
      <c r="O345" s="77"/>
    </row>
    <row r="346" spans="1:15" ht="15.75">
      <c r="A346" s="797"/>
      <c r="B346" s="77"/>
      <c r="C346" s="77"/>
      <c r="D346" s="77"/>
      <c r="E346" s="77"/>
      <c r="F346" s="77"/>
      <c r="G346" s="77"/>
      <c r="H346" s="86"/>
      <c r="I346" s="77"/>
      <c r="J346" s="77"/>
      <c r="K346" s="77"/>
      <c r="L346" s="77"/>
      <c r="M346" s="77"/>
      <c r="N346" s="77"/>
      <c r="O346" s="77"/>
    </row>
    <row r="347" spans="1:15" ht="15.75">
      <c r="A347" s="797"/>
      <c r="B347" s="77"/>
      <c r="C347" s="77"/>
      <c r="D347" s="77"/>
      <c r="E347" s="77"/>
      <c r="F347" s="77"/>
      <c r="G347" s="77"/>
      <c r="H347" s="86"/>
      <c r="I347" s="77"/>
      <c r="J347" s="77"/>
      <c r="K347" s="77"/>
      <c r="L347" s="77"/>
      <c r="M347" s="77"/>
      <c r="N347" s="77"/>
      <c r="O347" s="77"/>
    </row>
    <row r="348" spans="1:15" ht="15.75">
      <c r="A348" s="797"/>
      <c r="B348" s="77"/>
      <c r="C348" s="77"/>
      <c r="D348" s="77"/>
      <c r="E348" s="77"/>
      <c r="F348" s="77"/>
      <c r="G348" s="77"/>
      <c r="H348" s="86"/>
      <c r="I348" s="77"/>
      <c r="J348" s="77"/>
      <c r="K348" s="77"/>
      <c r="L348" s="77"/>
      <c r="M348" s="77"/>
      <c r="N348" s="77"/>
      <c r="O348" s="77"/>
    </row>
    <row r="349" spans="1:15" ht="15.75">
      <c r="A349" s="797"/>
      <c r="B349" s="77"/>
      <c r="C349" s="77"/>
      <c r="D349" s="77"/>
      <c r="E349" s="77"/>
      <c r="F349" s="77"/>
      <c r="G349" s="77"/>
      <c r="H349" s="86"/>
      <c r="I349" s="77"/>
      <c r="J349" s="77"/>
      <c r="K349" s="77"/>
      <c r="L349" s="77"/>
      <c r="M349" s="77"/>
      <c r="N349" s="77"/>
      <c r="O349" s="77"/>
    </row>
    <row r="350" spans="1:15" ht="15.75">
      <c r="A350" s="797"/>
      <c r="B350" s="77"/>
      <c r="C350" s="77"/>
      <c r="D350" s="77"/>
      <c r="E350" s="77"/>
      <c r="F350" s="77"/>
      <c r="G350" s="77"/>
      <c r="H350" s="86"/>
      <c r="I350" s="77"/>
      <c r="J350" s="77"/>
      <c r="K350" s="77"/>
      <c r="L350" s="77"/>
      <c r="M350" s="77"/>
      <c r="N350" s="77"/>
      <c r="O350" s="77"/>
    </row>
    <row r="351" spans="1:15" ht="15.75">
      <c r="A351" s="797"/>
      <c r="B351" s="77"/>
      <c r="C351" s="77"/>
      <c r="D351" s="77"/>
      <c r="E351" s="77"/>
      <c r="F351" s="77"/>
      <c r="G351" s="77"/>
      <c r="H351" s="86"/>
      <c r="I351" s="77"/>
      <c r="J351" s="77"/>
      <c r="K351" s="77"/>
      <c r="L351" s="77"/>
      <c r="M351" s="77"/>
      <c r="N351" s="77"/>
      <c r="O351" s="77"/>
    </row>
    <row r="352" spans="1:15" ht="15.75">
      <c r="A352" s="797"/>
      <c r="B352" s="77"/>
      <c r="C352" s="77"/>
      <c r="D352" s="77"/>
      <c r="E352" s="77"/>
      <c r="F352" s="77"/>
      <c r="G352" s="77"/>
      <c r="H352" s="86"/>
      <c r="I352" s="77"/>
      <c r="J352" s="77"/>
      <c r="K352" s="77"/>
      <c r="L352" s="77"/>
      <c r="M352" s="77"/>
      <c r="N352" s="77"/>
      <c r="O352" s="77"/>
    </row>
    <row r="353" spans="1:15" ht="15.75">
      <c r="A353" s="797"/>
      <c r="B353" s="77"/>
      <c r="C353" s="77"/>
      <c r="D353" s="77"/>
      <c r="E353" s="77"/>
      <c r="F353" s="77"/>
      <c r="G353" s="77"/>
      <c r="H353" s="86"/>
      <c r="I353" s="77"/>
      <c r="J353" s="77"/>
      <c r="K353" s="77"/>
      <c r="L353" s="77"/>
      <c r="M353" s="77"/>
      <c r="N353" s="77"/>
      <c r="O353" s="77"/>
    </row>
    <row r="354" spans="1:15" ht="15.75">
      <c r="A354" s="797"/>
      <c r="B354" s="77"/>
      <c r="C354" s="77"/>
      <c r="D354" s="77"/>
      <c r="E354" s="77"/>
      <c r="F354" s="77"/>
      <c r="G354" s="77"/>
      <c r="H354" s="86"/>
      <c r="I354" s="77"/>
      <c r="J354" s="77"/>
      <c r="K354" s="77"/>
      <c r="L354" s="77"/>
      <c r="M354" s="77"/>
      <c r="N354" s="77"/>
      <c r="O354" s="77"/>
    </row>
    <row r="355" spans="1:15" ht="15.75">
      <c r="A355" s="797"/>
      <c r="B355" s="77"/>
      <c r="C355" s="77"/>
      <c r="D355" s="77"/>
      <c r="E355" s="77"/>
      <c r="F355" s="77"/>
      <c r="G355" s="77"/>
      <c r="H355" s="86"/>
      <c r="I355" s="77"/>
      <c r="J355" s="77"/>
      <c r="K355" s="77"/>
      <c r="L355" s="77"/>
      <c r="M355" s="77"/>
      <c r="N355" s="77"/>
      <c r="O355" s="77"/>
    </row>
    <row r="356" spans="1:15" ht="15.75">
      <c r="A356" s="797"/>
      <c r="B356" s="77"/>
      <c r="C356" s="77"/>
      <c r="D356" s="77"/>
      <c r="E356" s="77"/>
      <c r="F356" s="77"/>
      <c r="G356" s="77"/>
      <c r="H356" s="86"/>
      <c r="I356" s="77"/>
      <c r="J356" s="77"/>
      <c r="K356" s="77"/>
      <c r="L356" s="77"/>
      <c r="M356" s="77"/>
      <c r="N356" s="77"/>
      <c r="O356" s="77"/>
    </row>
    <row r="357" spans="1:15" ht="15.75">
      <c r="A357" s="797"/>
      <c r="B357" s="77"/>
      <c r="C357" s="77"/>
      <c r="D357" s="77"/>
      <c r="E357" s="77"/>
      <c r="F357" s="77"/>
      <c r="G357" s="77"/>
      <c r="H357" s="86"/>
      <c r="I357" s="77"/>
      <c r="J357" s="77"/>
      <c r="K357" s="77"/>
      <c r="L357" s="77"/>
      <c r="M357" s="77"/>
      <c r="N357" s="77"/>
      <c r="O357" s="77"/>
    </row>
    <row r="358" spans="1:15" ht="15.75">
      <c r="A358" s="797"/>
      <c r="B358" s="77"/>
      <c r="C358" s="77"/>
      <c r="D358" s="77"/>
      <c r="E358" s="77"/>
      <c r="F358" s="77"/>
      <c r="G358" s="77"/>
      <c r="H358" s="86"/>
      <c r="I358" s="77"/>
      <c r="J358" s="77"/>
      <c r="K358" s="77"/>
      <c r="L358" s="77"/>
      <c r="M358" s="77"/>
      <c r="N358" s="77"/>
      <c r="O358" s="77"/>
    </row>
    <row r="359" spans="1:15" ht="15.75">
      <c r="A359" s="797"/>
      <c r="B359" s="77"/>
      <c r="C359" s="77"/>
      <c r="D359" s="77"/>
      <c r="E359" s="77"/>
      <c r="F359" s="77"/>
      <c r="G359" s="77"/>
      <c r="H359" s="86"/>
      <c r="I359" s="77"/>
      <c r="J359" s="77"/>
      <c r="K359" s="77"/>
      <c r="L359" s="77"/>
      <c r="M359" s="77"/>
      <c r="N359" s="77"/>
      <c r="O359" s="77"/>
    </row>
    <row r="360" spans="1:15" ht="15.75">
      <c r="A360" s="797"/>
      <c r="B360" s="77"/>
      <c r="C360" s="77"/>
      <c r="D360" s="77"/>
      <c r="E360" s="77"/>
      <c r="F360" s="77"/>
      <c r="G360" s="77"/>
      <c r="H360" s="86"/>
      <c r="I360" s="77"/>
      <c r="J360" s="77"/>
      <c r="K360" s="77"/>
      <c r="L360" s="77"/>
      <c r="M360" s="77"/>
      <c r="N360" s="77"/>
      <c r="O360" s="77"/>
    </row>
    <row r="361" spans="1:15" ht="15.75">
      <c r="A361" s="797"/>
      <c r="B361" s="77"/>
      <c r="C361" s="77"/>
      <c r="D361" s="77"/>
      <c r="E361" s="77"/>
      <c r="F361" s="77"/>
      <c r="G361" s="77"/>
      <c r="H361" s="86"/>
      <c r="I361" s="77"/>
      <c r="J361" s="77"/>
      <c r="K361" s="77"/>
      <c r="L361" s="77"/>
      <c r="M361" s="77"/>
      <c r="N361" s="77"/>
      <c r="O361" s="77"/>
    </row>
    <row r="362" spans="1:15" ht="15.75">
      <c r="A362" s="797"/>
      <c r="B362" s="77"/>
      <c r="C362" s="77"/>
      <c r="D362" s="77"/>
      <c r="E362" s="77"/>
      <c r="F362" s="77"/>
      <c r="G362" s="77"/>
      <c r="H362" s="86"/>
      <c r="I362" s="77"/>
      <c r="J362" s="77"/>
      <c r="K362" s="77"/>
      <c r="L362" s="77"/>
      <c r="M362" s="77"/>
      <c r="N362" s="77"/>
      <c r="O362" s="77"/>
    </row>
    <row r="363" spans="1:15" ht="15.75">
      <c r="A363" s="797"/>
      <c r="B363" s="77"/>
      <c r="C363" s="77"/>
      <c r="D363" s="77"/>
      <c r="E363" s="77"/>
      <c r="F363" s="77"/>
      <c r="G363" s="77"/>
      <c r="H363" s="86"/>
      <c r="I363" s="77"/>
      <c r="J363" s="77"/>
      <c r="K363" s="77"/>
      <c r="L363" s="77"/>
      <c r="M363" s="77"/>
      <c r="N363" s="77"/>
      <c r="O363" s="77"/>
    </row>
    <row r="364" spans="1:15" ht="15.75">
      <c r="A364" s="797"/>
      <c r="B364" s="77"/>
      <c r="C364" s="77"/>
      <c r="D364" s="77"/>
      <c r="E364" s="77"/>
      <c r="F364" s="77"/>
      <c r="G364" s="77"/>
      <c r="H364" s="86"/>
      <c r="I364" s="77"/>
      <c r="J364" s="77"/>
      <c r="K364" s="77"/>
      <c r="L364" s="77"/>
      <c r="M364" s="77"/>
      <c r="N364" s="77"/>
      <c r="O364" s="77"/>
    </row>
    <row r="365" spans="1:15" ht="15.75">
      <c r="A365" s="797"/>
      <c r="B365" s="77"/>
      <c r="C365" s="77"/>
      <c r="D365" s="77"/>
      <c r="E365" s="77"/>
      <c r="F365" s="77"/>
      <c r="G365" s="77"/>
      <c r="H365" s="86"/>
      <c r="I365" s="77"/>
      <c r="J365" s="77"/>
      <c r="K365" s="77"/>
      <c r="L365" s="77"/>
      <c r="M365" s="77"/>
      <c r="N365" s="77"/>
      <c r="O365" s="77"/>
    </row>
    <row r="366" spans="1:15" ht="15.75">
      <c r="A366" s="797"/>
      <c r="B366" s="77"/>
      <c r="C366" s="77"/>
      <c r="D366" s="77"/>
      <c r="E366" s="77"/>
      <c r="F366" s="77"/>
      <c r="G366" s="77"/>
      <c r="H366" s="86"/>
      <c r="I366" s="77"/>
      <c r="J366" s="77"/>
      <c r="K366" s="77"/>
      <c r="L366" s="77"/>
      <c r="M366" s="77"/>
      <c r="N366" s="77"/>
      <c r="O366" s="77"/>
    </row>
    <row r="367" spans="1:15" ht="15.75">
      <c r="A367" s="797"/>
      <c r="B367" s="77"/>
      <c r="C367" s="77"/>
      <c r="D367" s="77"/>
      <c r="E367" s="77"/>
      <c r="F367" s="77"/>
      <c r="G367" s="77"/>
      <c r="H367" s="86"/>
      <c r="I367" s="77"/>
      <c r="J367" s="77"/>
      <c r="K367" s="77"/>
      <c r="L367" s="77"/>
      <c r="M367" s="77"/>
      <c r="N367" s="77"/>
      <c r="O367" s="77"/>
    </row>
    <row r="368" spans="1:15" ht="15.75">
      <c r="A368" s="797"/>
      <c r="B368" s="77"/>
      <c r="C368" s="77"/>
      <c r="D368" s="77"/>
      <c r="E368" s="77"/>
      <c r="F368" s="77"/>
      <c r="G368" s="77"/>
      <c r="H368" s="86"/>
      <c r="I368" s="77"/>
      <c r="J368" s="77"/>
      <c r="K368" s="77"/>
      <c r="L368" s="77"/>
      <c r="M368" s="77"/>
      <c r="N368" s="77"/>
      <c r="O368" s="77"/>
    </row>
    <row r="369" spans="1:15" ht="15.75">
      <c r="A369" s="797"/>
      <c r="B369" s="77"/>
      <c r="C369" s="77"/>
      <c r="D369" s="77"/>
      <c r="E369" s="77"/>
      <c r="F369" s="77"/>
      <c r="G369" s="77"/>
      <c r="H369" s="86"/>
      <c r="I369" s="77"/>
      <c r="J369" s="77"/>
      <c r="K369" s="77"/>
      <c r="L369" s="77"/>
      <c r="M369" s="77"/>
      <c r="N369" s="77"/>
      <c r="O369" s="77"/>
    </row>
    <row r="370" spans="1:15" ht="15.75">
      <c r="A370" s="797"/>
      <c r="B370" s="77"/>
      <c r="C370" s="77"/>
      <c r="D370" s="77"/>
      <c r="E370" s="77"/>
      <c r="F370" s="77"/>
      <c r="G370" s="77"/>
      <c r="H370" s="86"/>
      <c r="I370" s="77"/>
      <c r="J370" s="77"/>
      <c r="K370" s="77"/>
      <c r="L370" s="77"/>
      <c r="M370" s="77"/>
      <c r="N370" s="77"/>
      <c r="O370" s="77"/>
    </row>
    <row r="371" spans="1:15" ht="15.75">
      <c r="A371" s="797"/>
      <c r="B371" s="77"/>
      <c r="C371" s="77"/>
      <c r="D371" s="77"/>
      <c r="E371" s="77"/>
      <c r="F371" s="77"/>
      <c r="G371" s="77"/>
      <c r="H371" s="86"/>
      <c r="I371" s="77"/>
      <c r="J371" s="77"/>
      <c r="K371" s="77"/>
      <c r="L371" s="77"/>
      <c r="M371" s="77"/>
      <c r="N371" s="77"/>
      <c r="O371" s="77"/>
    </row>
    <row r="372" spans="1:15" ht="15.75">
      <c r="A372" s="797"/>
      <c r="B372" s="77"/>
      <c r="C372" s="77"/>
      <c r="D372" s="77"/>
      <c r="E372" s="77"/>
      <c r="F372" s="77"/>
      <c r="G372" s="77"/>
      <c r="H372" s="86"/>
      <c r="I372" s="77"/>
      <c r="J372" s="77"/>
      <c r="K372" s="77"/>
      <c r="L372" s="77"/>
      <c r="M372" s="77"/>
      <c r="N372" s="77"/>
      <c r="O372" s="77"/>
    </row>
    <row r="373" spans="1:15" ht="15.75">
      <c r="A373" s="797"/>
      <c r="B373" s="77"/>
      <c r="C373" s="77"/>
      <c r="D373" s="77"/>
      <c r="E373" s="77"/>
      <c r="F373" s="77"/>
      <c r="G373" s="77"/>
      <c r="H373" s="86"/>
      <c r="I373" s="77"/>
      <c r="J373" s="77"/>
      <c r="K373" s="77"/>
      <c r="L373" s="77"/>
      <c r="M373" s="77"/>
      <c r="N373" s="77"/>
      <c r="O373" s="77"/>
    </row>
    <row r="374" spans="1:15" ht="15.75">
      <c r="A374" s="797"/>
      <c r="B374" s="77"/>
      <c r="C374" s="77"/>
      <c r="D374" s="77"/>
      <c r="E374" s="77"/>
      <c r="F374" s="77"/>
      <c r="G374" s="77"/>
      <c r="H374" s="86"/>
      <c r="I374" s="77"/>
      <c r="J374" s="77"/>
      <c r="K374" s="77"/>
      <c r="L374" s="77"/>
      <c r="M374" s="77"/>
      <c r="N374" s="77"/>
      <c r="O374" s="77"/>
    </row>
    <row r="375" spans="1:15" ht="15.75">
      <c r="A375" s="797"/>
      <c r="B375" s="77"/>
      <c r="C375" s="77"/>
      <c r="D375" s="77"/>
      <c r="E375" s="77"/>
      <c r="F375" s="77"/>
      <c r="G375" s="77"/>
      <c r="H375" s="86"/>
      <c r="I375" s="77"/>
      <c r="J375" s="77"/>
      <c r="K375" s="77"/>
      <c r="L375" s="77"/>
      <c r="M375" s="77"/>
      <c r="N375" s="77"/>
      <c r="O375" s="77"/>
    </row>
    <row r="376" spans="1:15" ht="15.75">
      <c r="A376" s="797"/>
      <c r="B376" s="77"/>
      <c r="C376" s="77"/>
      <c r="D376" s="77"/>
      <c r="E376" s="77"/>
      <c r="F376" s="77"/>
      <c r="G376" s="77"/>
      <c r="H376" s="86"/>
      <c r="I376" s="77"/>
      <c r="J376" s="77"/>
      <c r="K376" s="77"/>
      <c r="L376" s="77"/>
      <c r="M376" s="77"/>
      <c r="N376" s="77"/>
      <c r="O376" s="77"/>
    </row>
    <row r="377" spans="1:15" ht="15.75">
      <c r="A377" s="797"/>
      <c r="B377" s="77"/>
      <c r="C377" s="77"/>
      <c r="D377" s="77"/>
      <c r="E377" s="77"/>
      <c r="F377" s="77"/>
      <c r="G377" s="77"/>
      <c r="H377" s="86"/>
      <c r="I377" s="77"/>
      <c r="J377" s="77"/>
      <c r="K377" s="77"/>
      <c r="L377" s="77"/>
      <c r="M377" s="77"/>
      <c r="N377" s="77"/>
      <c r="O377" s="77"/>
    </row>
    <row r="378" spans="1:15" ht="15.75">
      <c r="A378" s="797"/>
      <c r="B378" s="77"/>
      <c r="C378" s="77"/>
      <c r="D378" s="77"/>
      <c r="E378" s="77"/>
      <c r="F378" s="77"/>
      <c r="G378" s="77"/>
      <c r="H378" s="86"/>
      <c r="I378" s="77"/>
      <c r="J378" s="77"/>
      <c r="K378" s="77"/>
      <c r="L378" s="77"/>
      <c r="M378" s="77"/>
      <c r="N378" s="77"/>
      <c r="O378" s="77"/>
    </row>
    <row r="379" spans="1:15" ht="15.75">
      <c r="A379" s="797"/>
      <c r="B379" s="77"/>
      <c r="C379" s="77"/>
      <c r="D379" s="77"/>
      <c r="E379" s="77"/>
      <c r="F379" s="77"/>
      <c r="G379" s="77"/>
      <c r="H379" s="86"/>
      <c r="I379" s="77"/>
      <c r="J379" s="77"/>
      <c r="K379" s="77"/>
      <c r="L379" s="77"/>
      <c r="M379" s="77"/>
      <c r="N379" s="77"/>
      <c r="O379" s="77"/>
    </row>
    <row r="380" spans="1:15" ht="15.75">
      <c r="A380" s="797"/>
      <c r="B380" s="77"/>
      <c r="C380" s="77"/>
      <c r="D380" s="77"/>
      <c r="E380" s="77"/>
      <c r="F380" s="77"/>
      <c r="G380" s="77"/>
      <c r="H380" s="86"/>
      <c r="I380" s="77"/>
      <c r="J380" s="77"/>
      <c r="K380" s="77"/>
      <c r="L380" s="77"/>
      <c r="M380" s="77"/>
      <c r="N380" s="77"/>
      <c r="O380" s="77"/>
    </row>
    <row r="381" spans="1:15" ht="15.75">
      <c r="A381" s="797"/>
      <c r="B381" s="77"/>
      <c r="C381" s="77"/>
      <c r="D381" s="77"/>
      <c r="E381" s="77"/>
      <c r="F381" s="77"/>
      <c r="G381" s="77"/>
      <c r="H381" s="86"/>
      <c r="I381" s="77"/>
      <c r="J381" s="77"/>
      <c r="K381" s="77"/>
      <c r="L381" s="77"/>
      <c r="M381" s="77"/>
      <c r="N381" s="77"/>
      <c r="O381" s="77"/>
    </row>
    <row r="382" spans="1:15" ht="15.75">
      <c r="A382" s="797"/>
      <c r="B382" s="77"/>
      <c r="C382" s="77"/>
      <c r="D382" s="77"/>
      <c r="E382" s="77"/>
      <c r="F382" s="77"/>
      <c r="G382" s="77"/>
      <c r="H382" s="86"/>
      <c r="I382" s="77"/>
      <c r="J382" s="77"/>
      <c r="K382" s="77"/>
      <c r="L382" s="77"/>
      <c r="M382" s="77"/>
      <c r="N382" s="77"/>
      <c r="O382" s="77"/>
    </row>
    <row r="383" spans="1:15" ht="15.75">
      <c r="A383" s="797"/>
      <c r="B383" s="77"/>
      <c r="C383" s="77"/>
      <c r="D383" s="77"/>
      <c r="E383" s="77"/>
      <c r="F383" s="77"/>
      <c r="G383" s="77"/>
      <c r="H383" s="86"/>
      <c r="I383" s="77"/>
      <c r="J383" s="77"/>
      <c r="K383" s="77"/>
      <c r="L383" s="77"/>
      <c r="M383" s="77"/>
      <c r="N383" s="77"/>
      <c r="O383" s="77"/>
    </row>
    <row r="384" spans="1:15" ht="15.75">
      <c r="A384" s="797"/>
      <c r="B384" s="77"/>
      <c r="C384" s="77"/>
      <c r="D384" s="77"/>
      <c r="E384" s="77"/>
      <c r="F384" s="77"/>
      <c r="G384" s="77"/>
      <c r="H384" s="86"/>
      <c r="I384" s="77"/>
      <c r="J384" s="77"/>
      <c r="K384" s="77"/>
      <c r="L384" s="77"/>
      <c r="M384" s="77"/>
      <c r="N384" s="77"/>
      <c r="O384" s="77"/>
    </row>
    <row r="385" spans="1:15" ht="15.75">
      <c r="A385" s="797"/>
      <c r="B385" s="77"/>
      <c r="C385" s="77"/>
      <c r="D385" s="77"/>
      <c r="E385" s="77"/>
      <c r="F385" s="77"/>
      <c r="G385" s="77"/>
      <c r="H385" s="86"/>
      <c r="I385" s="77"/>
      <c r="J385" s="77"/>
      <c r="K385" s="77"/>
      <c r="L385" s="77"/>
      <c r="M385" s="77"/>
      <c r="N385" s="77"/>
      <c r="O385" s="77"/>
    </row>
    <row r="386" spans="1:15" ht="15.75">
      <c r="A386" s="797"/>
      <c r="B386" s="77"/>
      <c r="C386" s="77"/>
      <c r="D386" s="77"/>
      <c r="E386" s="77"/>
      <c r="F386" s="77"/>
      <c r="G386" s="77"/>
      <c r="H386" s="86"/>
      <c r="I386" s="77"/>
      <c r="J386" s="77"/>
      <c r="K386" s="77"/>
      <c r="L386" s="77"/>
      <c r="M386" s="77"/>
      <c r="N386" s="77"/>
      <c r="O386" s="77"/>
    </row>
    <row r="387" spans="1:15" ht="15.75">
      <c r="A387" s="797"/>
      <c r="B387" s="77"/>
      <c r="C387" s="77"/>
      <c r="D387" s="77"/>
      <c r="E387" s="77"/>
      <c r="F387" s="77"/>
      <c r="G387" s="77"/>
      <c r="H387" s="86"/>
      <c r="I387" s="77"/>
      <c r="J387" s="77"/>
      <c r="K387" s="77"/>
      <c r="L387" s="77"/>
      <c r="M387" s="77"/>
      <c r="N387" s="77"/>
      <c r="O387" s="77"/>
    </row>
    <row r="388" spans="1:15" ht="15.75">
      <c r="A388" s="797"/>
      <c r="B388" s="77"/>
      <c r="C388" s="77"/>
      <c r="D388" s="77"/>
      <c r="E388" s="77"/>
      <c r="F388" s="77"/>
      <c r="G388" s="77"/>
      <c r="H388" s="86"/>
      <c r="I388" s="77"/>
      <c r="J388" s="77"/>
      <c r="K388" s="77"/>
      <c r="L388" s="77"/>
      <c r="M388" s="77"/>
      <c r="N388" s="77"/>
      <c r="O388" s="77"/>
    </row>
    <row r="389" spans="1:15" ht="15.75">
      <c r="A389" s="797"/>
      <c r="B389" s="77"/>
      <c r="C389" s="77"/>
      <c r="D389" s="77"/>
      <c r="E389" s="77"/>
      <c r="F389" s="77"/>
      <c r="G389" s="77"/>
      <c r="H389" s="86"/>
      <c r="I389" s="77"/>
      <c r="J389" s="77"/>
      <c r="K389" s="77"/>
      <c r="L389" s="77"/>
      <c r="M389" s="77"/>
      <c r="N389" s="77"/>
      <c r="O389" s="77"/>
    </row>
    <row r="390" spans="1:15" ht="15.75">
      <c r="A390" s="797"/>
      <c r="B390" s="77"/>
      <c r="C390" s="77"/>
      <c r="D390" s="77"/>
      <c r="E390" s="77"/>
      <c r="F390" s="77"/>
      <c r="G390" s="77"/>
      <c r="H390" s="86"/>
      <c r="I390" s="77"/>
      <c r="J390" s="77"/>
      <c r="K390" s="77"/>
      <c r="L390" s="77"/>
      <c r="M390" s="77"/>
      <c r="N390" s="77"/>
      <c r="O390" s="77"/>
    </row>
    <row r="391" spans="1:15" ht="15.75">
      <c r="A391" s="797"/>
      <c r="B391" s="77"/>
      <c r="C391" s="77"/>
      <c r="D391" s="77"/>
      <c r="E391" s="77"/>
      <c r="F391" s="77"/>
      <c r="G391" s="77"/>
      <c r="H391" s="86"/>
      <c r="I391" s="77"/>
      <c r="J391" s="77"/>
      <c r="K391" s="77"/>
      <c r="L391" s="77"/>
      <c r="M391" s="77"/>
      <c r="N391" s="77"/>
      <c r="O391" s="77"/>
    </row>
    <row r="392" spans="1:15" ht="15.75">
      <c r="A392" s="797"/>
      <c r="B392" s="77"/>
      <c r="C392" s="77"/>
      <c r="D392" s="77"/>
      <c r="E392" s="77"/>
      <c r="F392" s="77"/>
      <c r="G392" s="77"/>
      <c r="H392" s="86"/>
      <c r="I392" s="77"/>
      <c r="J392" s="77"/>
      <c r="K392" s="77"/>
      <c r="L392" s="77"/>
      <c r="M392" s="77"/>
      <c r="N392" s="77"/>
      <c r="O392" s="77"/>
    </row>
    <row r="393" spans="1:15" ht="15.75">
      <c r="A393" s="797"/>
      <c r="B393" s="77"/>
      <c r="C393" s="77"/>
      <c r="D393" s="77"/>
      <c r="E393" s="77"/>
      <c r="F393" s="77"/>
      <c r="G393" s="77"/>
      <c r="H393" s="86"/>
      <c r="I393" s="77"/>
      <c r="J393" s="77"/>
      <c r="K393" s="77"/>
      <c r="L393" s="77"/>
      <c r="M393" s="77"/>
      <c r="N393" s="77"/>
      <c r="O393" s="77"/>
    </row>
    <row r="394" spans="1:15" ht="15.75">
      <c r="A394" s="797"/>
      <c r="B394" s="77"/>
      <c r="C394" s="77"/>
      <c r="D394" s="77"/>
      <c r="E394" s="77"/>
      <c r="F394" s="77"/>
      <c r="G394" s="77"/>
      <c r="H394" s="86"/>
      <c r="I394" s="77"/>
      <c r="J394" s="77"/>
      <c r="K394" s="77"/>
      <c r="L394" s="77"/>
      <c r="M394" s="77"/>
      <c r="N394" s="77"/>
      <c r="O394" s="77"/>
    </row>
    <row r="395" spans="1:15" ht="15.75">
      <c r="A395" s="797"/>
      <c r="B395" s="77"/>
      <c r="C395" s="77"/>
      <c r="D395" s="77"/>
      <c r="E395" s="77"/>
      <c r="F395" s="77"/>
      <c r="G395" s="77"/>
      <c r="H395" s="86"/>
      <c r="I395" s="77"/>
      <c r="J395" s="77"/>
      <c r="K395" s="77"/>
      <c r="L395" s="77"/>
      <c r="M395" s="77"/>
      <c r="N395" s="77"/>
      <c r="O395" s="77"/>
    </row>
    <row r="396" spans="1:15" ht="15.75">
      <c r="A396" s="797"/>
      <c r="B396" s="77"/>
      <c r="C396" s="77"/>
      <c r="D396" s="77"/>
      <c r="E396" s="77"/>
      <c r="F396" s="77"/>
      <c r="G396" s="77"/>
      <c r="H396" s="86"/>
      <c r="I396" s="77"/>
      <c r="J396" s="77"/>
      <c r="K396" s="77"/>
      <c r="L396" s="77"/>
      <c r="M396" s="77"/>
      <c r="N396" s="77"/>
      <c r="O396" s="77"/>
    </row>
    <row r="397" spans="1:15" ht="15.75">
      <c r="A397" s="797"/>
      <c r="B397" s="77"/>
      <c r="C397" s="77"/>
      <c r="D397" s="77"/>
      <c r="E397" s="77"/>
      <c r="F397" s="77"/>
      <c r="G397" s="77"/>
      <c r="H397" s="86"/>
      <c r="I397" s="77"/>
      <c r="J397" s="77"/>
      <c r="K397" s="77"/>
      <c r="L397" s="77"/>
      <c r="M397" s="77"/>
      <c r="N397" s="77"/>
      <c r="O397" s="77"/>
    </row>
    <row r="398" spans="1:15" ht="15.75">
      <c r="A398" s="797"/>
      <c r="B398" s="77"/>
      <c r="C398" s="77"/>
      <c r="D398" s="77"/>
      <c r="E398" s="77"/>
      <c r="F398" s="77"/>
      <c r="G398" s="77"/>
      <c r="H398" s="86"/>
      <c r="I398" s="77"/>
      <c r="J398" s="77"/>
      <c r="K398" s="77"/>
      <c r="L398" s="77"/>
      <c r="M398" s="77"/>
      <c r="N398" s="77"/>
      <c r="O398" s="77"/>
    </row>
    <row r="399" spans="1:15" ht="15.75">
      <c r="A399" s="797"/>
      <c r="B399" s="77"/>
      <c r="C399" s="77"/>
      <c r="D399" s="77"/>
      <c r="E399" s="77"/>
      <c r="F399" s="77"/>
      <c r="G399" s="77"/>
      <c r="H399" s="86"/>
      <c r="I399" s="77"/>
      <c r="J399" s="77"/>
      <c r="K399" s="77"/>
      <c r="L399" s="77"/>
      <c r="M399" s="77"/>
      <c r="N399" s="77"/>
      <c r="O399" s="77"/>
    </row>
    <row r="400" spans="1:15" ht="15.75">
      <c r="A400" s="797"/>
      <c r="B400" s="77"/>
      <c r="C400" s="77"/>
      <c r="D400" s="77"/>
      <c r="E400" s="77"/>
      <c r="F400" s="77"/>
      <c r="G400" s="77"/>
      <c r="H400" s="86"/>
      <c r="I400" s="77"/>
      <c r="J400" s="77"/>
      <c r="K400" s="77"/>
      <c r="L400" s="77"/>
      <c r="M400" s="77"/>
      <c r="N400" s="77"/>
      <c r="O400" s="77"/>
    </row>
    <row r="401" spans="1:15" ht="15.75">
      <c r="A401" s="797"/>
      <c r="B401" s="77"/>
      <c r="C401" s="77"/>
      <c r="D401" s="77"/>
      <c r="E401" s="77"/>
      <c r="F401" s="77"/>
      <c r="G401" s="77"/>
      <c r="H401" s="86"/>
      <c r="I401" s="77"/>
      <c r="J401" s="77"/>
      <c r="K401" s="77"/>
      <c r="L401" s="77"/>
      <c r="M401" s="77"/>
      <c r="N401" s="77"/>
      <c r="O401" s="77"/>
    </row>
    <row r="402" spans="1:15" ht="15.75">
      <c r="A402" s="797"/>
      <c r="B402" s="77"/>
      <c r="C402" s="77"/>
      <c r="D402" s="77"/>
      <c r="E402" s="77"/>
      <c r="F402" s="77"/>
      <c r="G402" s="77"/>
      <c r="H402" s="86"/>
      <c r="I402" s="77"/>
      <c r="J402" s="77"/>
      <c r="K402" s="77"/>
      <c r="L402" s="77"/>
      <c r="M402" s="77"/>
      <c r="N402" s="77"/>
      <c r="O402" s="77"/>
    </row>
    <row r="403" spans="1:15" ht="15.75">
      <c r="A403" s="797"/>
      <c r="B403" s="77"/>
      <c r="C403" s="77"/>
      <c r="D403" s="77"/>
      <c r="E403" s="77"/>
      <c r="F403" s="77"/>
      <c r="G403" s="77"/>
      <c r="H403" s="86"/>
      <c r="I403" s="77"/>
      <c r="J403" s="77"/>
      <c r="K403" s="77"/>
      <c r="L403" s="77"/>
      <c r="M403" s="77"/>
      <c r="N403" s="77"/>
      <c r="O403" s="77"/>
    </row>
    <row r="404" spans="1:15" ht="15.75">
      <c r="A404" s="797"/>
      <c r="B404" s="77"/>
      <c r="C404" s="77"/>
      <c r="D404" s="77"/>
      <c r="E404" s="77"/>
      <c r="F404" s="77"/>
      <c r="G404" s="77"/>
      <c r="H404" s="86"/>
      <c r="I404" s="77"/>
      <c r="J404" s="77"/>
      <c r="K404" s="77"/>
      <c r="L404" s="77"/>
      <c r="M404" s="77"/>
      <c r="N404" s="77"/>
      <c r="O404" s="77"/>
    </row>
    <row r="405" spans="1:15" ht="15.75">
      <c r="A405" s="797"/>
      <c r="B405" s="77"/>
      <c r="C405" s="77"/>
      <c r="D405" s="77"/>
      <c r="E405" s="77"/>
      <c r="F405" s="77"/>
      <c r="G405" s="77"/>
      <c r="H405" s="86"/>
      <c r="I405" s="77"/>
      <c r="J405" s="77"/>
      <c r="K405" s="77"/>
      <c r="L405" s="77"/>
      <c r="M405" s="77"/>
      <c r="N405" s="77"/>
      <c r="O405" s="77"/>
    </row>
    <row r="406" spans="1:15" ht="15.75">
      <c r="A406" s="797"/>
      <c r="B406" s="77"/>
      <c r="C406" s="77"/>
      <c r="D406" s="77"/>
      <c r="E406" s="77"/>
      <c r="F406" s="77"/>
      <c r="G406" s="77"/>
      <c r="H406" s="86"/>
      <c r="I406" s="77"/>
      <c r="J406" s="77"/>
      <c r="K406" s="77"/>
      <c r="L406" s="77"/>
      <c r="M406" s="77"/>
      <c r="N406" s="77"/>
      <c r="O406" s="77"/>
    </row>
    <row r="407" spans="1:15" ht="15.75">
      <c r="A407" s="797"/>
      <c r="B407" s="77"/>
      <c r="C407" s="77"/>
      <c r="D407" s="77"/>
      <c r="E407" s="77"/>
      <c r="F407" s="77"/>
      <c r="G407" s="77"/>
      <c r="H407" s="86"/>
      <c r="I407" s="77"/>
      <c r="J407" s="77"/>
      <c r="K407" s="77"/>
      <c r="L407" s="77"/>
      <c r="M407" s="77"/>
      <c r="N407" s="77"/>
      <c r="O407" s="77"/>
    </row>
    <row r="408" spans="1:15" ht="15.75">
      <c r="A408" s="797"/>
      <c r="B408" s="77"/>
      <c r="C408" s="77"/>
      <c r="D408" s="77"/>
      <c r="E408" s="77"/>
      <c r="F408" s="77"/>
      <c r="G408" s="77"/>
      <c r="H408" s="86"/>
      <c r="I408" s="77"/>
      <c r="J408" s="77"/>
      <c r="K408" s="77"/>
      <c r="L408" s="77"/>
      <c r="M408" s="77"/>
      <c r="N408" s="77"/>
      <c r="O408" s="77"/>
    </row>
    <row r="409" spans="1:15" ht="15.75">
      <c r="A409" s="797"/>
      <c r="B409" s="77"/>
      <c r="C409" s="77"/>
      <c r="D409" s="77"/>
      <c r="E409" s="77"/>
      <c r="F409" s="77"/>
      <c r="G409" s="77"/>
      <c r="H409" s="86"/>
      <c r="I409" s="77"/>
      <c r="J409" s="77"/>
      <c r="K409" s="77"/>
      <c r="L409" s="77"/>
      <c r="M409" s="77"/>
      <c r="N409" s="77"/>
      <c r="O409" s="77"/>
    </row>
    <row r="410" spans="1:15" ht="15.75">
      <c r="A410" s="797"/>
      <c r="B410" s="77"/>
      <c r="C410" s="77"/>
      <c r="D410" s="77"/>
      <c r="E410" s="77"/>
      <c r="F410" s="77"/>
      <c r="G410" s="77"/>
      <c r="H410" s="86"/>
      <c r="I410" s="77"/>
      <c r="J410" s="77"/>
      <c r="K410" s="77"/>
      <c r="L410" s="77"/>
      <c r="M410" s="77"/>
      <c r="N410" s="77"/>
      <c r="O410" s="77"/>
    </row>
    <row r="411" spans="1:15" ht="15.75">
      <c r="A411" s="797"/>
      <c r="B411" s="77"/>
      <c r="C411" s="77"/>
      <c r="D411" s="77"/>
      <c r="E411" s="77"/>
      <c r="F411" s="77"/>
      <c r="G411" s="77"/>
      <c r="H411" s="86"/>
      <c r="I411" s="77"/>
      <c r="J411" s="77"/>
      <c r="K411" s="77"/>
      <c r="L411" s="77"/>
      <c r="M411" s="77"/>
      <c r="N411" s="77"/>
      <c r="O411" s="77"/>
    </row>
    <row r="412" spans="1:15" ht="15.75">
      <c r="A412" s="797"/>
      <c r="B412" s="77"/>
      <c r="C412" s="77"/>
      <c r="D412" s="77"/>
      <c r="E412" s="77"/>
      <c r="F412" s="77"/>
      <c r="G412" s="77"/>
      <c r="H412" s="86"/>
      <c r="I412" s="77"/>
      <c r="J412" s="77"/>
      <c r="K412" s="77"/>
      <c r="L412" s="77"/>
      <c r="M412" s="77"/>
      <c r="N412" s="77"/>
      <c r="O412" s="77"/>
    </row>
    <row r="413" spans="1:15" ht="15.75">
      <c r="A413" s="797"/>
      <c r="B413" s="77"/>
      <c r="C413" s="77"/>
      <c r="D413" s="77"/>
      <c r="E413" s="77"/>
      <c r="F413" s="77"/>
      <c r="G413" s="77"/>
      <c r="H413" s="86"/>
      <c r="I413" s="77"/>
      <c r="J413" s="77"/>
      <c r="K413" s="77"/>
      <c r="L413" s="77"/>
      <c r="M413" s="77"/>
      <c r="N413" s="77"/>
      <c r="O413" s="77"/>
    </row>
    <row r="414" spans="1:15" ht="15.75">
      <c r="A414" s="797"/>
      <c r="B414" s="77"/>
      <c r="C414" s="77"/>
      <c r="D414" s="77"/>
      <c r="E414" s="77"/>
      <c r="F414" s="77"/>
      <c r="G414" s="77"/>
      <c r="H414" s="86"/>
      <c r="I414" s="77"/>
      <c r="J414" s="77"/>
      <c r="K414" s="77"/>
      <c r="L414" s="77"/>
      <c r="M414" s="77"/>
      <c r="N414" s="77"/>
      <c r="O414" s="77"/>
    </row>
    <row r="415" spans="1:15" ht="15.75">
      <c r="A415" s="797"/>
      <c r="B415" s="77"/>
      <c r="C415" s="77"/>
      <c r="D415" s="77"/>
      <c r="E415" s="77"/>
      <c r="F415" s="77"/>
      <c r="G415" s="77"/>
      <c r="H415" s="86"/>
      <c r="I415" s="77"/>
      <c r="J415" s="77"/>
      <c r="K415" s="77"/>
      <c r="L415" s="77"/>
      <c r="M415" s="77"/>
      <c r="N415" s="77"/>
      <c r="O415" s="77"/>
    </row>
    <row r="416" spans="1:15" ht="15.75">
      <c r="A416" s="797"/>
      <c r="B416" s="77"/>
      <c r="C416" s="77"/>
      <c r="D416" s="77"/>
      <c r="E416" s="77"/>
      <c r="F416" s="77"/>
      <c r="G416" s="77"/>
      <c r="H416" s="86"/>
      <c r="I416" s="77"/>
      <c r="J416" s="77"/>
      <c r="K416" s="77"/>
      <c r="L416" s="77"/>
      <c r="M416" s="77"/>
      <c r="N416" s="77"/>
      <c r="O416" s="77"/>
    </row>
    <row r="417" spans="1:15" ht="15.75">
      <c r="A417" s="797"/>
      <c r="B417" s="77"/>
      <c r="C417" s="77"/>
      <c r="D417" s="77"/>
      <c r="E417" s="77"/>
      <c r="F417" s="77"/>
      <c r="G417" s="77"/>
      <c r="H417" s="86"/>
      <c r="I417" s="77"/>
      <c r="J417" s="77"/>
      <c r="K417" s="77"/>
      <c r="L417" s="77"/>
      <c r="M417" s="77"/>
      <c r="N417" s="77"/>
      <c r="O417" s="77"/>
    </row>
    <row r="418" spans="1:15" ht="15.75">
      <c r="A418" s="797"/>
      <c r="B418" s="77"/>
      <c r="C418" s="77"/>
      <c r="D418" s="77"/>
      <c r="E418" s="77"/>
      <c r="F418" s="77"/>
      <c r="G418" s="77"/>
      <c r="H418" s="86"/>
      <c r="I418" s="77"/>
      <c r="J418" s="77"/>
      <c r="K418" s="77"/>
      <c r="L418" s="77"/>
      <c r="M418" s="77"/>
      <c r="N418" s="77"/>
      <c r="O418" s="77"/>
    </row>
    <row r="419" spans="1:15" ht="15.75">
      <c r="A419" s="797"/>
      <c r="B419" s="77"/>
      <c r="C419" s="77"/>
      <c r="D419" s="77"/>
      <c r="E419" s="77"/>
      <c r="F419" s="77"/>
      <c r="G419" s="77"/>
      <c r="H419" s="86"/>
      <c r="I419" s="77"/>
      <c r="J419" s="77"/>
      <c r="K419" s="77"/>
      <c r="L419" s="77"/>
      <c r="M419" s="77"/>
      <c r="N419" s="77"/>
      <c r="O419" s="77"/>
    </row>
    <row r="420" spans="1:15" ht="15.75">
      <c r="A420" s="797"/>
      <c r="B420" s="77"/>
      <c r="C420" s="77"/>
      <c r="D420" s="77"/>
      <c r="E420" s="77"/>
      <c r="F420" s="77"/>
      <c r="G420" s="77"/>
      <c r="H420" s="86"/>
      <c r="I420" s="77"/>
      <c r="J420" s="77"/>
      <c r="K420" s="77"/>
      <c r="L420" s="77"/>
      <c r="M420" s="77"/>
      <c r="N420" s="77"/>
      <c r="O420" s="77"/>
    </row>
    <row r="421" spans="1:15" ht="15.75">
      <c r="A421" s="797"/>
      <c r="B421" s="77"/>
      <c r="C421" s="77"/>
      <c r="D421" s="77"/>
      <c r="E421" s="77"/>
      <c r="F421" s="77"/>
      <c r="G421" s="77"/>
      <c r="H421" s="86"/>
      <c r="I421" s="77"/>
      <c r="J421" s="77"/>
      <c r="K421" s="77"/>
      <c r="L421" s="77"/>
      <c r="M421" s="77"/>
      <c r="N421" s="77"/>
      <c r="O421" s="77"/>
    </row>
    <row r="422" spans="1:15" ht="15.75">
      <c r="A422" s="797"/>
      <c r="B422" s="77"/>
      <c r="C422" s="77"/>
      <c r="D422" s="77"/>
      <c r="E422" s="77"/>
      <c r="F422" s="77"/>
      <c r="G422" s="77"/>
      <c r="H422" s="86"/>
      <c r="I422" s="77"/>
      <c r="J422" s="77"/>
      <c r="K422" s="77"/>
      <c r="L422" s="77"/>
      <c r="M422" s="77"/>
      <c r="N422" s="77"/>
      <c r="O422" s="77"/>
    </row>
    <row r="423" spans="1:15" ht="15.75">
      <c r="A423" s="797"/>
      <c r="B423" s="77"/>
      <c r="C423" s="77"/>
      <c r="D423" s="77"/>
      <c r="E423" s="77"/>
      <c r="F423" s="77"/>
      <c r="G423" s="77"/>
      <c r="H423" s="86"/>
      <c r="I423" s="77"/>
      <c r="J423" s="77"/>
      <c r="K423" s="77"/>
      <c r="L423" s="77"/>
      <c r="M423" s="77"/>
      <c r="N423" s="77"/>
      <c r="O423" s="77"/>
    </row>
    <row r="424" spans="1:15" ht="15.75">
      <c r="A424" s="797"/>
      <c r="B424" s="77"/>
      <c r="C424" s="77"/>
      <c r="D424" s="77"/>
      <c r="E424" s="77"/>
      <c r="F424" s="77"/>
      <c r="G424" s="77"/>
      <c r="H424" s="86"/>
      <c r="I424" s="77"/>
      <c r="J424" s="77"/>
      <c r="K424" s="77"/>
      <c r="L424" s="77"/>
      <c r="M424" s="77"/>
      <c r="N424" s="77"/>
      <c r="O424" s="77"/>
    </row>
    <row r="425" spans="1:15" ht="15.75">
      <c r="A425" s="797"/>
      <c r="B425" s="77"/>
      <c r="C425" s="77"/>
      <c r="D425" s="77"/>
      <c r="E425" s="77"/>
      <c r="F425" s="77"/>
      <c r="G425" s="77"/>
      <c r="H425" s="86"/>
      <c r="I425" s="77"/>
      <c r="J425" s="77"/>
      <c r="K425" s="77"/>
      <c r="L425" s="77"/>
      <c r="M425" s="77"/>
      <c r="N425" s="77"/>
      <c r="O425" s="77"/>
    </row>
    <row r="426" spans="1:15" ht="15.75">
      <c r="A426" s="797"/>
      <c r="B426" s="77"/>
      <c r="C426" s="77"/>
      <c r="D426" s="77"/>
      <c r="E426" s="77"/>
      <c r="F426" s="77"/>
      <c r="G426" s="77"/>
      <c r="H426" s="86"/>
      <c r="I426" s="77"/>
      <c r="J426" s="77"/>
      <c r="K426" s="77"/>
      <c r="L426" s="77"/>
      <c r="M426" s="77"/>
      <c r="N426" s="77"/>
      <c r="O426" s="77"/>
    </row>
    <row r="427" spans="1:15" ht="15.75">
      <c r="A427" s="797"/>
      <c r="B427" s="77"/>
      <c r="C427" s="77"/>
      <c r="D427" s="77"/>
      <c r="E427" s="77"/>
      <c r="F427" s="77"/>
      <c r="G427" s="77"/>
      <c r="H427" s="86"/>
      <c r="I427" s="77"/>
      <c r="J427" s="77"/>
      <c r="K427" s="77"/>
      <c r="L427" s="77"/>
      <c r="M427" s="77"/>
      <c r="N427" s="77"/>
      <c r="O427" s="77"/>
    </row>
    <row r="428" spans="1:15" ht="15.75">
      <c r="A428" s="797"/>
      <c r="B428" s="77"/>
      <c r="C428" s="77"/>
      <c r="D428" s="77"/>
      <c r="E428" s="77"/>
      <c r="F428" s="77"/>
      <c r="G428" s="77"/>
      <c r="H428" s="86"/>
      <c r="I428" s="77"/>
      <c r="J428" s="77"/>
      <c r="K428" s="77"/>
      <c r="L428" s="77"/>
      <c r="M428" s="77"/>
      <c r="N428" s="77"/>
      <c r="O428" s="77"/>
    </row>
    <row r="429" spans="1:15" ht="15.75">
      <c r="A429" s="797"/>
      <c r="B429" s="77"/>
      <c r="C429" s="77"/>
      <c r="D429" s="77"/>
      <c r="E429" s="77"/>
      <c r="F429" s="77"/>
      <c r="G429" s="77"/>
      <c r="H429" s="86"/>
      <c r="I429" s="77"/>
      <c r="J429" s="77"/>
      <c r="K429" s="77"/>
      <c r="L429" s="77"/>
      <c r="M429" s="77"/>
      <c r="N429" s="77"/>
      <c r="O429" s="77"/>
    </row>
    <row r="430" spans="1:15" ht="15.75">
      <c r="A430" s="797"/>
      <c r="B430" s="77"/>
      <c r="C430" s="77"/>
      <c r="D430" s="77"/>
      <c r="E430" s="77"/>
      <c r="F430" s="77"/>
      <c r="G430" s="77"/>
      <c r="H430" s="86"/>
      <c r="I430" s="77"/>
      <c r="J430" s="77"/>
      <c r="K430" s="77"/>
      <c r="L430" s="77"/>
      <c r="M430" s="77"/>
      <c r="N430" s="77"/>
      <c r="O430" s="77"/>
    </row>
    <row r="431" spans="1:15" ht="15.75">
      <c r="A431" s="797"/>
      <c r="B431" s="77"/>
      <c r="C431" s="77"/>
      <c r="D431" s="77"/>
      <c r="E431" s="77"/>
      <c r="F431" s="77"/>
      <c r="G431" s="77"/>
      <c r="H431" s="86"/>
      <c r="I431" s="77"/>
      <c r="J431" s="77"/>
      <c r="K431" s="77"/>
      <c r="L431" s="77"/>
      <c r="M431" s="77"/>
      <c r="N431" s="77"/>
      <c r="O431" s="77"/>
    </row>
    <row r="432" spans="1:15" ht="15.75">
      <c r="A432" s="797"/>
      <c r="B432" s="77"/>
      <c r="C432" s="77"/>
      <c r="D432" s="77"/>
      <c r="E432" s="77"/>
      <c r="F432" s="77"/>
      <c r="G432" s="77"/>
      <c r="H432" s="86"/>
      <c r="I432" s="77"/>
      <c r="J432" s="77"/>
      <c r="K432" s="77"/>
      <c r="L432" s="77"/>
      <c r="M432" s="77"/>
      <c r="N432" s="77"/>
      <c r="O432" s="77"/>
    </row>
    <row r="433" spans="1:15" ht="15.75">
      <c r="A433" s="797"/>
      <c r="B433" s="77"/>
      <c r="C433" s="77"/>
      <c r="D433" s="77"/>
      <c r="E433" s="77"/>
      <c r="F433" s="77"/>
      <c r="G433" s="77"/>
      <c r="H433" s="86"/>
      <c r="I433" s="77"/>
      <c r="J433" s="77"/>
      <c r="K433" s="77"/>
      <c r="L433" s="77"/>
      <c r="M433" s="77"/>
      <c r="N433" s="77"/>
      <c r="O433" s="77"/>
    </row>
    <row r="434" spans="1:15" ht="15.75">
      <c r="A434" s="797"/>
      <c r="B434" s="77"/>
      <c r="C434" s="77"/>
      <c r="D434" s="77"/>
      <c r="E434" s="77"/>
      <c r="F434" s="77"/>
      <c r="G434" s="77"/>
      <c r="H434" s="86"/>
      <c r="I434" s="77"/>
      <c r="J434" s="77"/>
      <c r="K434" s="77"/>
      <c r="L434" s="77"/>
      <c r="M434" s="77"/>
      <c r="N434" s="77"/>
      <c r="O434" s="77"/>
    </row>
    <row r="435" spans="1:15" ht="15.75">
      <c r="A435" s="797"/>
      <c r="B435" s="77"/>
      <c r="C435" s="77"/>
      <c r="D435" s="77"/>
      <c r="E435" s="77"/>
      <c r="F435" s="77"/>
      <c r="G435" s="77"/>
      <c r="H435" s="86"/>
      <c r="I435" s="77"/>
      <c r="J435" s="77"/>
      <c r="K435" s="77"/>
      <c r="L435" s="77"/>
      <c r="M435" s="77"/>
      <c r="N435" s="77"/>
      <c r="O435" s="77"/>
    </row>
    <row r="436" spans="1:15" ht="15.75">
      <c r="A436" s="797"/>
      <c r="B436" s="77"/>
      <c r="C436" s="77"/>
      <c r="D436" s="77"/>
      <c r="E436" s="77"/>
      <c r="F436" s="77"/>
      <c r="G436" s="77"/>
      <c r="H436" s="86"/>
      <c r="I436" s="77"/>
      <c r="J436" s="77"/>
      <c r="K436" s="77"/>
      <c r="L436" s="77"/>
      <c r="M436" s="77"/>
      <c r="N436" s="77"/>
      <c r="O436" s="77"/>
    </row>
    <row r="437" spans="1:15" ht="15.75">
      <c r="A437" s="797"/>
      <c r="B437" s="77"/>
      <c r="C437" s="77"/>
      <c r="D437" s="77"/>
      <c r="E437" s="77"/>
      <c r="F437" s="77"/>
      <c r="G437" s="77"/>
      <c r="H437" s="86"/>
      <c r="I437" s="77"/>
      <c r="J437" s="77"/>
      <c r="K437" s="77"/>
      <c r="L437" s="77"/>
      <c r="M437" s="77"/>
      <c r="N437" s="77"/>
      <c r="O437" s="77"/>
    </row>
    <row r="438" spans="1:15" ht="15.75">
      <c r="A438" s="797"/>
      <c r="B438" s="77"/>
      <c r="C438" s="77"/>
      <c r="D438" s="77"/>
      <c r="E438" s="77"/>
      <c r="F438" s="77"/>
      <c r="G438" s="77"/>
      <c r="H438" s="86"/>
      <c r="I438" s="77"/>
      <c r="J438" s="77"/>
      <c r="K438" s="77"/>
      <c r="L438" s="77"/>
      <c r="M438" s="77"/>
      <c r="N438" s="77"/>
      <c r="O438" s="77"/>
    </row>
    <row r="439" spans="1:15" ht="15.75">
      <c r="A439" s="797"/>
      <c r="B439" s="77"/>
      <c r="C439" s="77"/>
      <c r="D439" s="77"/>
      <c r="E439" s="77"/>
      <c r="F439" s="77"/>
      <c r="G439" s="77"/>
      <c r="H439" s="86"/>
      <c r="I439" s="77"/>
      <c r="J439" s="77"/>
      <c r="K439" s="77"/>
      <c r="L439" s="77"/>
      <c r="M439" s="77"/>
      <c r="N439" s="77"/>
      <c r="O439" s="77"/>
    </row>
    <row r="440" spans="1:15" ht="15.75">
      <c r="A440" s="797"/>
      <c r="B440" s="77"/>
      <c r="C440" s="77"/>
      <c r="D440" s="77"/>
      <c r="E440" s="77"/>
      <c r="F440" s="77"/>
      <c r="G440" s="77"/>
      <c r="H440" s="86"/>
      <c r="I440" s="77"/>
      <c r="J440" s="77"/>
      <c r="K440" s="77"/>
      <c r="L440" s="77"/>
      <c r="M440" s="77"/>
      <c r="N440" s="77"/>
      <c r="O440" s="77"/>
    </row>
    <row r="441" spans="1:15" ht="15.75">
      <c r="A441" s="797"/>
      <c r="B441" s="77"/>
      <c r="C441" s="77"/>
      <c r="D441" s="77"/>
      <c r="E441" s="77"/>
      <c r="F441" s="77"/>
      <c r="G441" s="77"/>
      <c r="H441" s="86"/>
      <c r="I441" s="77"/>
      <c r="J441" s="77"/>
      <c r="K441" s="77"/>
      <c r="L441" s="77"/>
      <c r="M441" s="77"/>
      <c r="N441" s="77"/>
      <c r="O441" s="77"/>
    </row>
    <row r="442" spans="1:15" ht="15.75">
      <c r="A442" s="797"/>
      <c r="B442" s="77"/>
      <c r="D442" s="77"/>
      <c r="E442" s="77"/>
      <c r="F442" s="77"/>
      <c r="G442" s="77"/>
      <c r="H442" s="86"/>
      <c r="I442" s="77"/>
      <c r="J442" s="77"/>
      <c r="K442" s="77"/>
      <c r="L442" s="77"/>
      <c r="M442" s="77"/>
      <c r="N442" s="77"/>
      <c r="O442" s="77"/>
    </row>
    <row r="443" spans="1:15" ht="15.75">
      <c r="A443" s="797"/>
      <c r="B443" s="77"/>
      <c r="D443" s="77"/>
      <c r="E443" s="77"/>
      <c r="F443" s="77"/>
      <c r="G443" s="77"/>
      <c r="H443" s="86"/>
      <c r="I443" s="77"/>
      <c r="J443" s="77"/>
      <c r="K443" s="77"/>
      <c r="L443" s="77"/>
      <c r="M443" s="77"/>
      <c r="N443" s="77"/>
      <c r="O443" s="77"/>
    </row>
    <row r="444" spans="1:15" ht="15.75">
      <c r="A444" s="797"/>
      <c r="B444" s="77"/>
      <c r="D444" s="77"/>
      <c r="E444" s="77"/>
      <c r="F444" s="77"/>
      <c r="G444" s="77"/>
      <c r="H444" s="86"/>
      <c r="I444" s="77"/>
      <c r="J444" s="77"/>
      <c r="K444" s="77"/>
      <c r="L444" s="77"/>
      <c r="M444" s="77"/>
      <c r="N444" s="77"/>
      <c r="O444" s="77"/>
    </row>
    <row r="445" spans="1:15" ht="15.75">
      <c r="A445" s="797"/>
      <c r="K445" s="77"/>
      <c r="L445" s="77"/>
      <c r="M445" s="77"/>
      <c r="N445" s="77"/>
      <c r="O445" s="77"/>
    </row>
    <row r="446" spans="1:15" ht="15.75">
      <c r="A446" s="797"/>
      <c r="K446" s="77"/>
      <c r="L446" s="77"/>
      <c r="M446" s="77"/>
      <c r="N446" s="77"/>
      <c r="O446" s="77"/>
    </row>
    <row r="447" spans="1:15" ht="15.75">
      <c r="A447" s="797"/>
      <c r="K447" s="77"/>
      <c r="L447" s="77"/>
      <c r="M447" s="77"/>
      <c r="N447" s="77"/>
      <c r="O447" s="77"/>
    </row>
    <row r="448" spans="1:15" ht="15.75">
      <c r="A448" s="797"/>
      <c r="K448" s="77"/>
      <c r="L448" s="77"/>
      <c r="M448" s="77"/>
      <c r="N448" s="77"/>
      <c r="O448" s="77"/>
    </row>
    <row r="449" spans="1:15" ht="15.75">
      <c r="A449" s="797"/>
      <c r="K449" s="77"/>
      <c r="L449" s="77"/>
      <c r="M449" s="77"/>
      <c r="N449" s="77"/>
      <c r="O449" s="77"/>
    </row>
    <row r="450" spans="1:15" ht="15.75">
      <c r="A450" s="797"/>
      <c r="K450" s="77"/>
      <c r="L450" s="77"/>
      <c r="M450" s="77"/>
      <c r="N450" s="77"/>
      <c r="O450" s="77"/>
    </row>
    <row r="451" spans="1:15" ht="15.75">
      <c r="A451" s="797"/>
      <c r="K451" s="77"/>
      <c r="L451" s="77"/>
      <c r="M451" s="77"/>
      <c r="N451" s="77"/>
      <c r="O451" s="77"/>
    </row>
    <row r="452" spans="1:15" ht="15.75">
      <c r="A452" s="797"/>
      <c r="K452" s="77"/>
      <c r="L452" s="77"/>
      <c r="M452" s="77"/>
      <c r="N452" s="77"/>
      <c r="O452" s="77"/>
    </row>
    <row r="453" spans="1:15" ht="15.75">
      <c r="A453" s="797"/>
      <c r="K453" s="77"/>
      <c r="L453" s="77"/>
      <c r="M453" s="77"/>
      <c r="N453" s="77"/>
      <c r="O453" s="77"/>
    </row>
    <row r="454" spans="1:15" ht="15.75">
      <c r="A454" s="797"/>
      <c r="K454" s="77"/>
      <c r="L454" s="77"/>
      <c r="M454" s="77"/>
      <c r="N454" s="77"/>
      <c r="O454" s="77"/>
    </row>
    <row r="455" spans="1:15" ht="15.75">
      <c r="A455" s="797"/>
      <c r="K455" s="77"/>
      <c r="L455" s="77"/>
      <c r="M455" s="77"/>
      <c r="N455" s="77"/>
      <c r="O455" s="77"/>
    </row>
    <row r="456" spans="1:15" ht="15.75">
      <c r="A456" s="797"/>
      <c r="K456" s="77"/>
      <c r="L456" s="77"/>
      <c r="M456" s="77"/>
      <c r="N456" s="77"/>
      <c r="O456" s="77"/>
    </row>
    <row r="457" spans="1:15" ht="15.75">
      <c r="A457" s="797"/>
      <c r="K457" s="77"/>
      <c r="L457" s="77"/>
      <c r="M457" s="77"/>
      <c r="N457" s="77"/>
      <c r="O457" s="77"/>
    </row>
    <row r="458" spans="1:15" ht="15.75">
      <c r="A458" s="797"/>
      <c r="K458" s="77"/>
      <c r="L458" s="77"/>
      <c r="M458" s="77"/>
      <c r="N458" s="77"/>
      <c r="O458" s="77"/>
    </row>
    <row r="459" spans="1:15" ht="15.75">
      <c r="A459" s="797"/>
      <c r="K459" s="77"/>
      <c r="L459" s="77"/>
      <c r="M459" s="77"/>
      <c r="N459" s="77"/>
      <c r="O459" s="77"/>
    </row>
    <row r="460" spans="1:15" ht="15.75">
      <c r="A460" s="797"/>
      <c r="K460" s="77"/>
      <c r="L460" s="77"/>
      <c r="M460" s="77"/>
      <c r="N460" s="77"/>
      <c r="O460" s="77"/>
    </row>
    <row r="461" spans="1:15" ht="15.75">
      <c r="A461" s="797"/>
      <c r="K461" s="77"/>
      <c r="L461" s="77"/>
      <c r="M461" s="77"/>
      <c r="N461" s="77"/>
      <c r="O461" s="77"/>
    </row>
    <row r="462" spans="1:15" ht="15.75">
      <c r="A462" s="797"/>
      <c r="K462" s="77"/>
      <c r="L462" s="77"/>
      <c r="M462" s="77"/>
      <c r="N462" s="77"/>
      <c r="O462" s="77"/>
    </row>
    <row r="463" spans="1:15" ht="15.75">
      <c r="A463" s="797"/>
      <c r="K463" s="77"/>
      <c r="L463" s="77"/>
      <c r="M463" s="77"/>
      <c r="N463" s="77"/>
      <c r="O463" s="77"/>
    </row>
    <row r="464" spans="1:15" ht="15.75">
      <c r="A464" s="797"/>
      <c r="K464" s="77"/>
      <c r="L464" s="77"/>
      <c r="M464" s="77"/>
      <c r="N464" s="77"/>
      <c r="O464" s="77"/>
    </row>
    <row r="465" spans="1:15" ht="15.75">
      <c r="A465" s="797"/>
      <c r="K465" s="77"/>
      <c r="L465" s="77"/>
      <c r="M465" s="77"/>
      <c r="N465" s="77"/>
      <c r="O465" s="77"/>
    </row>
    <row r="466" spans="1:15" ht="15.75">
      <c r="A466" s="797"/>
      <c r="K466" s="77"/>
      <c r="L466" s="77"/>
      <c r="M466" s="77"/>
      <c r="N466" s="77"/>
      <c r="O466" s="77"/>
    </row>
    <row r="467" spans="1:15" ht="15.75">
      <c r="A467" s="797"/>
      <c r="K467" s="77"/>
      <c r="L467" s="77"/>
      <c r="M467" s="77"/>
      <c r="N467" s="77"/>
      <c r="O467" s="77"/>
    </row>
    <row r="468" spans="1:15" ht="15.75">
      <c r="A468" s="797"/>
      <c r="K468" s="77"/>
      <c r="L468" s="77"/>
      <c r="M468" s="77"/>
      <c r="N468" s="77"/>
      <c r="O468" s="77"/>
    </row>
    <row r="469" spans="1:15" ht="15.75">
      <c r="A469" s="797"/>
      <c r="K469" s="77"/>
      <c r="L469" s="77"/>
      <c r="M469" s="77"/>
      <c r="N469" s="77"/>
      <c r="O469" s="77"/>
    </row>
    <row r="470" spans="1:15" ht="15.75">
      <c r="A470" s="797"/>
      <c r="K470" s="77"/>
      <c r="L470" s="77"/>
      <c r="M470" s="77"/>
      <c r="N470" s="77"/>
      <c r="O470" s="77"/>
    </row>
    <row r="471" spans="1:15" ht="15.75">
      <c r="A471" s="797"/>
      <c r="K471" s="77"/>
      <c r="L471" s="77"/>
      <c r="M471" s="77"/>
      <c r="N471" s="77"/>
      <c r="O471" s="77"/>
    </row>
    <row r="472" spans="1:15" ht="15.75">
      <c r="A472" s="797"/>
      <c r="K472" s="77"/>
      <c r="L472" s="77"/>
      <c r="M472" s="77"/>
      <c r="N472" s="77"/>
      <c r="O472" s="77"/>
    </row>
    <row r="473" spans="1:15" ht="15.75">
      <c r="A473" s="797"/>
      <c r="L473" s="77"/>
    </row>
  </sheetData>
  <sheetProtection sheet="1" objects="1" scenarios="1" formatColumns="0" formatRows="0" selectLockedCells="1"/>
  <mergeCells count="131">
    <mergeCell ref="X47:Y47"/>
    <mergeCell ref="X42:Y42"/>
    <mergeCell ref="X63:Y63"/>
    <mergeCell ref="X64:Y64"/>
    <mergeCell ref="X65:Y65"/>
    <mergeCell ref="X66:Y66"/>
    <mergeCell ref="X67:Y67"/>
    <mergeCell ref="X58:Y58"/>
    <mergeCell ref="X59:Y59"/>
    <mergeCell ref="X60:Y60"/>
    <mergeCell ref="X61:Y61"/>
    <mergeCell ref="X62:Y62"/>
    <mergeCell ref="X44:Y44"/>
    <mergeCell ref="X53:Y53"/>
    <mergeCell ref="X54:Y54"/>
    <mergeCell ref="X55:Y55"/>
    <mergeCell ref="X56:Y56"/>
    <mergeCell ref="X57:Y57"/>
    <mergeCell ref="X48:Y48"/>
    <mergeCell ref="X49:Y49"/>
    <mergeCell ref="X50:Y50"/>
    <mergeCell ref="X51:Y51"/>
    <mergeCell ref="X52:Y52"/>
    <mergeCell ref="X45:Y45"/>
    <mergeCell ref="X46:Y46"/>
    <mergeCell ref="V39:W39"/>
    <mergeCell ref="V29:W29"/>
    <mergeCell ref="V30:W30"/>
    <mergeCell ref="V31:W31"/>
    <mergeCell ref="V34:W34"/>
    <mergeCell ref="X38:Y38"/>
    <mergeCell ref="X39:Y39"/>
    <mergeCell ref="X40:Y40"/>
    <mergeCell ref="X41:Y41"/>
    <mergeCell ref="V33:Z33"/>
    <mergeCell ref="V44:W44"/>
    <mergeCell ref="V45:W45"/>
    <mergeCell ref="V46:W46"/>
    <mergeCell ref="V43:Z43"/>
    <mergeCell ref="X27:Y27"/>
    <mergeCell ref="X28:Y28"/>
    <mergeCell ref="X29:Y29"/>
    <mergeCell ref="X30:Y30"/>
    <mergeCell ref="X31:Y31"/>
    <mergeCell ref="X22:Y22"/>
    <mergeCell ref="X23:Y23"/>
    <mergeCell ref="X24:Y24"/>
    <mergeCell ref="X25:Y25"/>
    <mergeCell ref="X26:Y26"/>
    <mergeCell ref="V65:W65"/>
    <mergeCell ref="V66:W66"/>
    <mergeCell ref="V67:W67"/>
    <mergeCell ref="X9:Y9"/>
    <mergeCell ref="X10:Y10"/>
    <mergeCell ref="X11:Y11"/>
    <mergeCell ref="X12:Y12"/>
    <mergeCell ref="X13:Y13"/>
    <mergeCell ref="X14:Y14"/>
    <mergeCell ref="X15:Y15"/>
    <mergeCell ref="X16:Y16"/>
    <mergeCell ref="X17:Y17"/>
    <mergeCell ref="X18:Y18"/>
    <mergeCell ref="X19:Y19"/>
    <mergeCell ref="X20:Y20"/>
    <mergeCell ref="X21:Y21"/>
    <mergeCell ref="V60:W60"/>
    <mergeCell ref="V61:W61"/>
    <mergeCell ref="V62:W62"/>
    <mergeCell ref="V48:W48"/>
    <mergeCell ref="V49:W49"/>
    <mergeCell ref="V40:W40"/>
    <mergeCell ref="V41:W41"/>
    <mergeCell ref="V42:W42"/>
    <mergeCell ref="V63:W63"/>
    <mergeCell ref="V64:W64"/>
    <mergeCell ref="V55:W55"/>
    <mergeCell ref="V56:W56"/>
    <mergeCell ref="V57:W57"/>
    <mergeCell ref="V58:W58"/>
    <mergeCell ref="V59:W59"/>
    <mergeCell ref="V50:W50"/>
    <mergeCell ref="V51:W51"/>
    <mergeCell ref="V52:W52"/>
    <mergeCell ref="V53:W53"/>
    <mergeCell ref="V54:W54"/>
    <mergeCell ref="V47:W47"/>
    <mergeCell ref="X34:Y34"/>
    <mergeCell ref="X35:Y35"/>
    <mergeCell ref="X36:Y36"/>
    <mergeCell ref="S43:U43"/>
    <mergeCell ref="J8:L8"/>
    <mergeCell ref="J43:L43"/>
    <mergeCell ref="J33:L33"/>
    <mergeCell ref="M8:O8"/>
    <mergeCell ref="V19:W19"/>
    <mergeCell ref="V20:W20"/>
    <mergeCell ref="V21:W21"/>
    <mergeCell ref="V22:W22"/>
    <mergeCell ref="V23:W23"/>
    <mergeCell ref="V35:W35"/>
    <mergeCell ref="V24:W24"/>
    <mergeCell ref="V25:W25"/>
    <mergeCell ref="V26:W26"/>
    <mergeCell ref="V27:W27"/>
    <mergeCell ref="V36:W36"/>
    <mergeCell ref="V37:W37"/>
    <mergeCell ref="V38:W38"/>
    <mergeCell ref="X37:Y37"/>
    <mergeCell ref="V8:Z8"/>
    <mergeCell ref="V28:W28"/>
    <mergeCell ref="V9:W9"/>
    <mergeCell ref="V10:W10"/>
    <mergeCell ref="V11:W11"/>
    <mergeCell ref="V12:W12"/>
    <mergeCell ref="V13:W13"/>
    <mergeCell ref="V14:W14"/>
    <mergeCell ref="V15:W15"/>
    <mergeCell ref="V16:W16"/>
    <mergeCell ref="V17:W17"/>
    <mergeCell ref="V18:W18"/>
    <mergeCell ref="B3:B8"/>
    <mergeCell ref="C3:D3"/>
    <mergeCell ref="E3:E8"/>
    <mergeCell ref="J7:L7"/>
    <mergeCell ref="M7:O7"/>
    <mergeCell ref="B1:C2"/>
    <mergeCell ref="P8:Q8"/>
    <mergeCell ref="S8:U8"/>
    <mergeCell ref="S33:U33"/>
    <mergeCell ref="E33:F33"/>
    <mergeCell ref="H3:H7"/>
  </mergeCells>
  <dataValidations count="9">
    <dataValidation type="list" allowBlank="1" showInputMessage="1" showErrorMessage="1" sqref="G35:G41">
      <formula1>"Vermarktung,Verwertung in eigener BGA,Verfütterung Wiederkäuer, Verfütterung Nichtwiederkäuer,keine Beerntung"</formula1>
    </dataValidation>
    <dataValidation type="list" allowBlank="1" showInputMessage="1" showErrorMessage="1" sqref="G10:G30">
      <formula1>"Verbleib auf Feld,Vermarktung,Einstreu,Verfütterung,Verwertung in eigener BGA"</formula1>
    </dataValidation>
    <dataValidation type="list" allowBlank="1" showInputMessage="1" showErrorMessage="1" sqref="G45:G65">
      <formula1>"Vermarktung,Verwertung in eigener BGA,Verfütterung Wiederkäuer,Verfütterung Nichtwiederkäuer,keine Beerntung"</formula1>
    </dataValidation>
    <dataValidation type="list" allowBlank="1" showInputMessage="1" showErrorMessage="1" sqref="C35:C41">
      <formula1>"0,5,10,15,20,25,30,40,50,60,70,80,90,100"</formula1>
    </dataValidation>
    <dataValidation type="list" allowBlank="1" showInputMessage="1" showErrorMessage="1" sqref="C45:C65">
      <formula1>"0,5,10,15,20,25,30,40,50,60,70,80,90"</formula1>
    </dataValidation>
    <dataValidation type="list" allowBlank="1" showInputMessage="1" showErrorMessage="1" sqref="F10:F30">
      <formula1>"Vermarktung,Verwertung in eigener BGA,Verfütterung,keine Beerntung"</formula1>
    </dataValidation>
    <dataValidation type="list" allowBlank="1" showInputMessage="1" showErrorMessage="1" sqref="B10:B30">
      <formula1>Marktfrucht</formula1>
    </dataValidation>
    <dataValidation type="list" allowBlank="1" showInputMessage="1" showErrorMessage="1" sqref="B35:B41">
      <formula1>Zwfrucht</formula1>
    </dataValidation>
    <dataValidation type="list" allowBlank="1" showInputMessage="1" showErrorMessage="1" sqref="B45:B65">
      <formula1>Futterbau</formula1>
    </dataValidation>
  </dataValidation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B1:K21"/>
  <sheetViews>
    <sheetView workbookViewId="0">
      <selection activeCell="M10" sqref="M10"/>
    </sheetView>
  </sheetViews>
  <sheetFormatPr baseColWidth="10" defaultRowHeight="15"/>
  <cols>
    <col min="2" max="2" width="16.85546875" customWidth="1"/>
    <col min="3" max="3" width="47.28515625" customWidth="1"/>
    <col min="4" max="4" width="25.42578125" customWidth="1"/>
  </cols>
  <sheetData>
    <row r="1" spans="2:11">
      <c r="C1" s="1221" t="s">
        <v>1243</v>
      </c>
      <c r="D1" s="1221"/>
      <c r="E1" s="1221"/>
      <c r="F1" s="1221"/>
    </row>
    <row r="2" spans="2:11">
      <c r="C2" s="1221"/>
      <c r="D2" s="1221"/>
      <c r="E2" s="1221"/>
      <c r="F2" s="1221"/>
    </row>
    <row r="3" spans="2:11">
      <c r="C3" s="1221"/>
      <c r="D3" s="1221"/>
      <c r="E3" s="1221"/>
      <c r="F3" s="1221"/>
    </row>
    <row r="4" spans="2:11" ht="15.75" thickBot="1"/>
    <row r="5" spans="2:11">
      <c r="B5" s="13"/>
      <c r="C5" s="1302" t="s">
        <v>441</v>
      </c>
      <c r="D5" s="1303" t="s">
        <v>440</v>
      </c>
      <c r="E5" s="1304"/>
      <c r="F5" s="1065"/>
      <c r="G5" s="1065"/>
      <c r="H5" s="1065"/>
      <c r="I5" s="459"/>
      <c r="J5" s="459"/>
      <c r="K5" s="459"/>
    </row>
    <row r="6" spans="2:11">
      <c r="B6" s="13"/>
      <c r="C6" s="1211"/>
      <c r="D6" s="487" t="s">
        <v>551</v>
      </c>
      <c r="E6" s="818">
        <v>300</v>
      </c>
      <c r="F6" s="1065"/>
      <c r="G6" s="1065"/>
      <c r="H6" s="1065"/>
      <c r="I6" s="459"/>
      <c r="J6" s="459"/>
      <c r="K6" s="459"/>
    </row>
    <row r="7" spans="2:11">
      <c r="B7" s="13"/>
      <c r="C7" s="1211"/>
      <c r="D7" s="487" t="s">
        <v>445</v>
      </c>
      <c r="E7" s="818">
        <v>50</v>
      </c>
      <c r="F7" s="1065"/>
      <c r="G7" s="1065"/>
      <c r="H7" s="1065"/>
      <c r="I7" s="459"/>
      <c r="J7" s="459"/>
      <c r="K7" s="459"/>
    </row>
    <row r="8" spans="2:11">
      <c r="B8" s="13"/>
      <c r="C8" s="1211"/>
      <c r="D8" s="487" t="s">
        <v>439</v>
      </c>
      <c r="E8" s="818">
        <v>40</v>
      </c>
      <c r="F8" s="1065"/>
      <c r="G8" s="1065"/>
      <c r="H8" s="1065"/>
      <c r="I8" s="459"/>
      <c r="J8" s="459"/>
      <c r="K8" s="459"/>
    </row>
    <row r="9" spans="2:11" ht="15.75" thickBot="1">
      <c r="B9" s="13"/>
      <c r="C9" s="1212"/>
      <c r="D9" s="488" t="s">
        <v>133</v>
      </c>
      <c r="E9" s="489">
        <f>(E6*E7*E8)/100000</f>
        <v>6</v>
      </c>
      <c r="F9" s="13"/>
      <c r="G9" s="13"/>
      <c r="H9" s="13"/>
      <c r="I9" s="13"/>
      <c r="J9" s="13"/>
      <c r="K9" s="13"/>
    </row>
    <row r="10" spans="2:11">
      <c r="B10" s="723"/>
      <c r="C10" s="407"/>
      <c r="D10" s="407"/>
      <c r="E10" s="1305" t="s">
        <v>132</v>
      </c>
      <c r="F10" s="1306"/>
      <c r="G10" s="1307"/>
      <c r="H10" s="1308" t="s">
        <v>406</v>
      </c>
      <c r="I10" s="1306"/>
      <c r="J10" s="1307"/>
      <c r="K10" s="723"/>
    </row>
    <row r="11" spans="2:11" ht="30.75">
      <c r="B11" s="1064" t="s">
        <v>363</v>
      </c>
      <c r="C11" s="870" t="s">
        <v>1148</v>
      </c>
      <c r="D11" s="490" t="s">
        <v>133</v>
      </c>
      <c r="E11" s="1064" t="s">
        <v>16</v>
      </c>
      <c r="F11" s="1064" t="s">
        <v>113</v>
      </c>
      <c r="G11" s="1064" t="s">
        <v>114</v>
      </c>
      <c r="H11" s="1064" t="s">
        <v>16</v>
      </c>
      <c r="I11" s="1064" t="s">
        <v>113</v>
      </c>
      <c r="J11" s="1064" t="s">
        <v>114</v>
      </c>
      <c r="K11" s="723"/>
    </row>
    <row r="12" spans="2:11">
      <c r="B12" s="819"/>
      <c r="C12" s="829" t="s">
        <v>163</v>
      </c>
      <c r="D12" s="831">
        <v>0</v>
      </c>
      <c r="E12" s="350">
        <f>VLOOKUP($C12,'Daten Futtermittel Saatgut'!$B$79:$F$88,2,FALSE)</f>
        <v>0</v>
      </c>
      <c r="F12" s="350">
        <f>VLOOKUP($C12,'Daten Futtermittel Saatgut'!$B$79:$F$88,3,FALSE)</f>
        <v>0</v>
      </c>
      <c r="G12" s="350">
        <f>VLOOKUP($C12,'Daten Futtermittel Saatgut'!$B$79:$F$88,4,FALSE)</f>
        <v>0</v>
      </c>
      <c r="H12" s="347">
        <f>$D12*E12</f>
        <v>0</v>
      </c>
      <c r="I12" s="347">
        <f>$D12*F12</f>
        <v>0</v>
      </c>
      <c r="J12" s="347">
        <f>$D12*G12</f>
        <v>0</v>
      </c>
      <c r="K12" s="13"/>
    </row>
    <row r="13" spans="2:11">
      <c r="B13" s="819"/>
      <c r="C13" s="829" t="s">
        <v>163</v>
      </c>
      <c r="D13" s="831">
        <v>0</v>
      </c>
      <c r="E13" s="350">
        <f>VLOOKUP($C13,'Daten Futtermittel Saatgut'!$B$79:$F$88,2,FALSE)</f>
        <v>0</v>
      </c>
      <c r="F13" s="350">
        <f>VLOOKUP($C13,'Daten Futtermittel Saatgut'!$B$79:$F$88,3,FALSE)</f>
        <v>0</v>
      </c>
      <c r="G13" s="350">
        <f>VLOOKUP($C13,'Daten Futtermittel Saatgut'!$B$79:$F$88,4,FALSE)</f>
        <v>0</v>
      </c>
      <c r="H13" s="347">
        <f t="shared" ref="H13:J20" si="0">$D13*E13</f>
        <v>0</v>
      </c>
      <c r="I13" s="347">
        <f t="shared" si="0"/>
        <v>0</v>
      </c>
      <c r="J13" s="347">
        <f t="shared" si="0"/>
        <v>0</v>
      </c>
      <c r="K13" s="13"/>
    </row>
    <row r="14" spans="2:11">
      <c r="B14" s="819"/>
      <c r="C14" s="829" t="s">
        <v>163</v>
      </c>
      <c r="D14" s="831">
        <v>0</v>
      </c>
      <c r="E14" s="350">
        <f>VLOOKUP($C14,'Daten Futtermittel Saatgut'!$B$79:$F$88,2,FALSE)</f>
        <v>0</v>
      </c>
      <c r="F14" s="350">
        <f>VLOOKUP($C14,'Daten Futtermittel Saatgut'!$B$79:$F$88,3,FALSE)</f>
        <v>0</v>
      </c>
      <c r="G14" s="350">
        <f>VLOOKUP($C14,'Daten Futtermittel Saatgut'!$B$79:$F$88,4,FALSE)</f>
        <v>0</v>
      </c>
      <c r="H14" s="347">
        <f t="shared" si="0"/>
        <v>0</v>
      </c>
      <c r="I14" s="347">
        <f t="shared" si="0"/>
        <v>0</v>
      </c>
      <c r="J14" s="347">
        <f t="shared" si="0"/>
        <v>0</v>
      </c>
      <c r="K14" s="13"/>
    </row>
    <row r="15" spans="2:11">
      <c r="B15" s="819"/>
      <c r="C15" s="829" t="s">
        <v>163</v>
      </c>
      <c r="D15" s="831">
        <v>0</v>
      </c>
      <c r="E15" s="350">
        <f>VLOOKUP($C15,'Daten Futtermittel Saatgut'!$B$79:$F$88,2,FALSE)</f>
        <v>0</v>
      </c>
      <c r="F15" s="350">
        <f>VLOOKUP($C15,'Daten Futtermittel Saatgut'!$B$79:$F$88,3,FALSE)</f>
        <v>0</v>
      </c>
      <c r="G15" s="350">
        <f>VLOOKUP($C15,'Daten Futtermittel Saatgut'!$B$79:$F$88,4,FALSE)</f>
        <v>0</v>
      </c>
      <c r="H15" s="347">
        <f t="shared" si="0"/>
        <v>0</v>
      </c>
      <c r="I15" s="347">
        <f t="shared" si="0"/>
        <v>0</v>
      </c>
      <c r="J15" s="347">
        <f t="shared" si="0"/>
        <v>0</v>
      </c>
      <c r="K15" s="13"/>
    </row>
    <row r="16" spans="2:11">
      <c r="B16" s="819"/>
      <c r="C16" s="829" t="s">
        <v>163</v>
      </c>
      <c r="D16" s="831">
        <v>0</v>
      </c>
      <c r="E16" s="350">
        <f>VLOOKUP($C16,'Daten Futtermittel Saatgut'!$B$79:$F$88,2,FALSE)</f>
        <v>0</v>
      </c>
      <c r="F16" s="350">
        <f>VLOOKUP($C16,'Daten Futtermittel Saatgut'!$B$79:$F$88,3,FALSE)</f>
        <v>0</v>
      </c>
      <c r="G16" s="350">
        <f>VLOOKUP($C16,'Daten Futtermittel Saatgut'!$B$79:$F$88,4,FALSE)</f>
        <v>0</v>
      </c>
      <c r="H16" s="347">
        <f t="shared" si="0"/>
        <v>0</v>
      </c>
      <c r="I16" s="347">
        <f t="shared" si="0"/>
        <v>0</v>
      </c>
      <c r="J16" s="347">
        <f t="shared" si="0"/>
        <v>0</v>
      </c>
      <c r="K16" s="13"/>
    </row>
    <row r="17" spans="2:11">
      <c r="B17" s="819"/>
      <c r="C17" s="829" t="s">
        <v>163</v>
      </c>
      <c r="D17" s="831">
        <v>0</v>
      </c>
      <c r="E17" s="350">
        <f>VLOOKUP($C17,'Daten Futtermittel Saatgut'!$B$79:$F$88,2,FALSE)</f>
        <v>0</v>
      </c>
      <c r="F17" s="350">
        <f>VLOOKUP($C17,'Daten Futtermittel Saatgut'!$B$79:$F$88,3,FALSE)</f>
        <v>0</v>
      </c>
      <c r="G17" s="350">
        <f>VLOOKUP($C17,'Daten Futtermittel Saatgut'!$B$79:$F$88,4,FALSE)</f>
        <v>0</v>
      </c>
      <c r="H17" s="347">
        <f t="shared" si="0"/>
        <v>0</v>
      </c>
      <c r="I17" s="347">
        <f t="shared" si="0"/>
        <v>0</v>
      </c>
      <c r="J17" s="347">
        <f t="shared" si="0"/>
        <v>0</v>
      </c>
      <c r="K17" s="13"/>
    </row>
    <row r="18" spans="2:11">
      <c r="B18" s="819"/>
      <c r="C18" s="829" t="s">
        <v>163</v>
      </c>
      <c r="D18" s="831">
        <v>0</v>
      </c>
      <c r="E18" s="350">
        <f>VLOOKUP($C18,'Daten Futtermittel Saatgut'!$B$79:$F$88,2,FALSE)</f>
        <v>0</v>
      </c>
      <c r="F18" s="350">
        <f>VLOOKUP($C18,'Daten Futtermittel Saatgut'!$B$79:$F$88,3,FALSE)</f>
        <v>0</v>
      </c>
      <c r="G18" s="350">
        <f>VLOOKUP($C18,'Daten Futtermittel Saatgut'!$B$79:$F$88,4,FALSE)</f>
        <v>0</v>
      </c>
      <c r="H18" s="347">
        <f t="shared" si="0"/>
        <v>0</v>
      </c>
      <c r="I18" s="347">
        <f t="shared" si="0"/>
        <v>0</v>
      </c>
      <c r="J18" s="347">
        <f t="shared" si="0"/>
        <v>0</v>
      </c>
      <c r="K18" s="13"/>
    </row>
    <row r="19" spans="2:11">
      <c r="B19" s="819"/>
      <c r="C19" s="829" t="s">
        <v>163</v>
      </c>
      <c r="D19" s="831">
        <v>0</v>
      </c>
      <c r="E19" s="350">
        <f>VLOOKUP($C19,'Daten Futtermittel Saatgut'!$B$79:$F$88,2,FALSE)</f>
        <v>0</v>
      </c>
      <c r="F19" s="350">
        <f>VLOOKUP($C19,'Daten Futtermittel Saatgut'!$B$79:$F$88,3,FALSE)</f>
        <v>0</v>
      </c>
      <c r="G19" s="350">
        <f>VLOOKUP($C19,'Daten Futtermittel Saatgut'!$B$79:$F$88,4,FALSE)</f>
        <v>0</v>
      </c>
      <c r="H19" s="347">
        <f t="shared" si="0"/>
        <v>0</v>
      </c>
      <c r="I19" s="347">
        <f t="shared" si="0"/>
        <v>0</v>
      </c>
      <c r="J19" s="347">
        <f t="shared" si="0"/>
        <v>0</v>
      </c>
      <c r="K19" s="13"/>
    </row>
    <row r="20" spans="2:11">
      <c r="B20" s="819"/>
      <c r="C20" s="829" t="s">
        <v>163</v>
      </c>
      <c r="D20" s="831">
        <v>0</v>
      </c>
      <c r="E20" s="350">
        <f>VLOOKUP($C20,'Daten Futtermittel Saatgut'!$B$79:$F$88,2,FALSE)</f>
        <v>0</v>
      </c>
      <c r="F20" s="350">
        <f>VLOOKUP($C20,'Daten Futtermittel Saatgut'!$B$79:$F$88,3,FALSE)</f>
        <v>0</v>
      </c>
      <c r="G20" s="350">
        <f>VLOOKUP($C20,'Daten Futtermittel Saatgut'!$B$79:$F$88,4,FALSE)</f>
        <v>0</v>
      </c>
      <c r="H20" s="347">
        <f t="shared" si="0"/>
        <v>0</v>
      </c>
      <c r="I20" s="347">
        <f t="shared" si="0"/>
        <v>0</v>
      </c>
      <c r="J20" s="347">
        <f t="shared" si="0"/>
        <v>0</v>
      </c>
      <c r="K20" s="13"/>
    </row>
    <row r="21" spans="2:11">
      <c r="B21" s="13"/>
      <c r="C21" s="1064" t="s">
        <v>38</v>
      </c>
      <c r="D21" s="348"/>
      <c r="E21" s="349"/>
      <c r="F21" s="270"/>
      <c r="G21" s="270"/>
      <c r="H21" s="270">
        <f>SUM(H12:H20)</f>
        <v>0</v>
      </c>
      <c r="I21" s="382">
        <f>SUM(I12:I20)</f>
        <v>0</v>
      </c>
      <c r="J21" s="382">
        <f>SUM(J12:J20)</f>
        <v>0</v>
      </c>
      <c r="K21" s="1066"/>
    </row>
  </sheetData>
  <sheetProtection sheet="1" objects="1" scenarios="1"/>
  <mergeCells count="5">
    <mergeCell ref="C1:F3"/>
    <mergeCell ref="C5:C9"/>
    <mergeCell ref="D5:E5"/>
    <mergeCell ref="E10:G10"/>
    <mergeCell ref="H10:J10"/>
  </mergeCells>
  <dataValidations count="1">
    <dataValidation type="list" allowBlank="1" showInputMessage="1" showErrorMessage="1" sqref="C12:C20">
      <formula1>Saatgut</formula1>
    </dataValidation>
  </dataValidations>
  <pageMargins left="0.7" right="0.7" top="0.78740157499999996" bottom="0.78740157499999996"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9" tint="0.59999389629810485"/>
  </sheetPr>
  <dimension ref="A1:I43"/>
  <sheetViews>
    <sheetView zoomScaleNormal="100" workbookViewId="0">
      <selection activeCell="A10" sqref="A10"/>
    </sheetView>
  </sheetViews>
  <sheetFormatPr baseColWidth="10" defaultColWidth="13.28515625" defaultRowHeight="15"/>
  <cols>
    <col min="1" max="1" width="20.42578125" customWidth="1"/>
    <col min="2" max="2" width="32.42578125" customWidth="1"/>
    <col min="4" max="6" width="10.28515625" customWidth="1"/>
  </cols>
  <sheetData>
    <row r="1" spans="1:9" ht="15" customHeight="1">
      <c r="B1" s="1311" t="s">
        <v>1125</v>
      </c>
      <c r="C1" s="1311"/>
      <c r="D1" s="1311"/>
      <c r="E1" s="1311"/>
    </row>
    <row r="2" spans="1:9" ht="15" customHeight="1">
      <c r="A2" s="326"/>
      <c r="B2" s="1311"/>
      <c r="C2" s="1311"/>
      <c r="D2" s="1311"/>
      <c r="E2" s="1311"/>
    </row>
    <row r="4" spans="1:9" s="135" customFormat="1" ht="46.5" customHeight="1">
      <c r="A4" s="274"/>
      <c r="B4" s="274"/>
      <c r="C4" s="307"/>
      <c r="D4" s="1309" t="s">
        <v>17</v>
      </c>
      <c r="E4" s="1309"/>
      <c r="F4" s="1309"/>
      <c r="G4" s="1310" t="s">
        <v>1174</v>
      </c>
      <c r="H4" s="1310"/>
      <c r="I4" s="1310"/>
    </row>
    <row r="5" spans="1:9" ht="18.75">
      <c r="A5" s="265" t="s">
        <v>351</v>
      </c>
      <c r="B5" s="265" t="s">
        <v>765</v>
      </c>
      <c r="C5" s="265" t="s">
        <v>77</v>
      </c>
      <c r="D5" s="265" t="s">
        <v>16</v>
      </c>
      <c r="E5" s="265" t="s">
        <v>36</v>
      </c>
      <c r="F5" s="265" t="s">
        <v>37</v>
      </c>
      <c r="G5" s="265" t="s">
        <v>16</v>
      </c>
      <c r="H5" s="265" t="s">
        <v>36</v>
      </c>
      <c r="I5" s="265" t="s">
        <v>37</v>
      </c>
    </row>
    <row r="6" spans="1:9" ht="15.75">
      <c r="A6" s="845"/>
      <c r="B6" s="846" t="s">
        <v>163</v>
      </c>
      <c r="C6" s="847">
        <v>0</v>
      </c>
      <c r="D6" s="541">
        <f>VLOOKUP($B$6,'Daten Düngemittel'!$B$70:$E$114,2,FALSE)</f>
        <v>0</v>
      </c>
      <c r="E6" s="541">
        <f>VLOOKUP(B6,'Daten Düngemittel'!$B$70:$E$114,3,FALSE)</f>
        <v>0</v>
      </c>
      <c r="F6" s="541">
        <f>VLOOKUP(B6,'Daten Düngemittel'!$B$70:$E$114,4,FALSE)</f>
        <v>0</v>
      </c>
      <c r="G6" s="266">
        <f>C6*D6</f>
        <v>0</v>
      </c>
      <c r="H6" s="266">
        <f>C6*E6</f>
        <v>0</v>
      </c>
      <c r="I6" s="266">
        <f>C6*F6</f>
        <v>0</v>
      </c>
    </row>
    <row r="7" spans="1:9" ht="15.75">
      <c r="A7" s="845"/>
      <c r="B7" s="846" t="s">
        <v>163</v>
      </c>
      <c r="C7" s="847">
        <v>0</v>
      </c>
      <c r="D7" s="541">
        <f>VLOOKUP(B7,'Daten Düngemittel'!$B$70:$E$114,2,FALSE)</f>
        <v>0</v>
      </c>
      <c r="E7" s="541">
        <f>VLOOKUP(B7,'Daten Düngemittel'!$B$70:$E$114,3,FALSE)</f>
        <v>0</v>
      </c>
      <c r="F7" s="541">
        <f>VLOOKUP(B7,'Daten Düngemittel'!$B$70:$E$114,4,FALSE)</f>
        <v>0</v>
      </c>
      <c r="G7" s="266">
        <f t="shared" ref="G7:G42" si="0">C7*D7</f>
        <v>0</v>
      </c>
      <c r="H7" s="266">
        <f t="shared" ref="H7:H42" si="1">C7*E7</f>
        <v>0</v>
      </c>
      <c r="I7" s="266">
        <f t="shared" ref="I7:I42" si="2">C7*F7</f>
        <v>0</v>
      </c>
    </row>
    <row r="8" spans="1:9" ht="15.75">
      <c r="A8" s="845"/>
      <c r="B8" s="846" t="s">
        <v>163</v>
      </c>
      <c r="C8" s="847">
        <v>0</v>
      </c>
      <c r="D8" s="541">
        <f>VLOOKUP(B8,'Daten Düngemittel'!$B$70:$E$114,2,FALSE)</f>
        <v>0</v>
      </c>
      <c r="E8" s="541">
        <f>VLOOKUP(B8,'Daten Düngemittel'!$B$70:$E$114,3,FALSE)</f>
        <v>0</v>
      </c>
      <c r="F8" s="541">
        <f>VLOOKUP(B8,'Daten Düngemittel'!$B$70:$E$114,4,FALSE)</f>
        <v>0</v>
      </c>
      <c r="G8" s="266">
        <f t="shared" si="0"/>
        <v>0</v>
      </c>
      <c r="H8" s="266">
        <f t="shared" si="1"/>
        <v>0</v>
      </c>
      <c r="I8" s="266">
        <f t="shared" si="2"/>
        <v>0</v>
      </c>
    </row>
    <row r="9" spans="1:9" ht="15.75">
      <c r="A9" s="845"/>
      <c r="B9" s="846" t="s">
        <v>163</v>
      </c>
      <c r="C9" s="847">
        <v>0</v>
      </c>
      <c r="D9" s="541">
        <f>VLOOKUP(B9,'Daten Düngemittel'!$B$70:$E$114,2,FALSE)</f>
        <v>0</v>
      </c>
      <c r="E9" s="541">
        <f>VLOOKUP(B9,'Daten Düngemittel'!$B$70:$E$114,3,FALSE)</f>
        <v>0</v>
      </c>
      <c r="F9" s="541">
        <f>VLOOKUP(B9,'Daten Düngemittel'!$B$70:$E$114,4,FALSE)</f>
        <v>0</v>
      </c>
      <c r="G9" s="266">
        <f t="shared" si="0"/>
        <v>0</v>
      </c>
      <c r="H9" s="266">
        <f t="shared" si="1"/>
        <v>0</v>
      </c>
      <c r="I9" s="266">
        <f t="shared" si="2"/>
        <v>0</v>
      </c>
    </row>
    <row r="10" spans="1:9" ht="15.75">
      <c r="A10" s="845"/>
      <c r="B10" s="846" t="s">
        <v>163</v>
      </c>
      <c r="C10" s="847">
        <v>0</v>
      </c>
      <c r="D10" s="541">
        <f>VLOOKUP(B10,'Daten Düngemittel'!$B$70:$E$114,2,FALSE)</f>
        <v>0</v>
      </c>
      <c r="E10" s="541">
        <f>VLOOKUP(B10,'Daten Düngemittel'!$B$70:$E$114,3,FALSE)</f>
        <v>0</v>
      </c>
      <c r="F10" s="541">
        <f>VLOOKUP(B10,'Daten Düngemittel'!$B$70:$E$114,4,FALSE)</f>
        <v>0</v>
      </c>
      <c r="G10" s="266">
        <f t="shared" si="0"/>
        <v>0</v>
      </c>
      <c r="H10" s="266">
        <f t="shared" si="1"/>
        <v>0</v>
      </c>
      <c r="I10" s="266">
        <f t="shared" si="2"/>
        <v>0</v>
      </c>
    </row>
    <row r="11" spans="1:9" ht="15.75">
      <c r="A11" s="845"/>
      <c r="B11" s="846" t="s">
        <v>163</v>
      </c>
      <c r="C11" s="847">
        <v>0</v>
      </c>
      <c r="D11" s="541">
        <f>VLOOKUP(B11,'Daten Düngemittel'!$B$70:$E$114,2,FALSE)</f>
        <v>0</v>
      </c>
      <c r="E11" s="541">
        <f>VLOOKUP(B11,'Daten Düngemittel'!$B$70:$E$114,3,FALSE)</f>
        <v>0</v>
      </c>
      <c r="F11" s="541">
        <f>VLOOKUP(B11,'Daten Düngemittel'!$B$70:$E$114,4,FALSE)</f>
        <v>0</v>
      </c>
      <c r="G11" s="266">
        <f t="shared" si="0"/>
        <v>0</v>
      </c>
      <c r="H11" s="266">
        <f t="shared" si="1"/>
        <v>0</v>
      </c>
      <c r="I11" s="266">
        <f t="shared" si="2"/>
        <v>0</v>
      </c>
    </row>
    <row r="12" spans="1:9" ht="15.75">
      <c r="A12" s="845"/>
      <c r="B12" s="846" t="s">
        <v>163</v>
      </c>
      <c r="C12" s="847">
        <v>0</v>
      </c>
      <c r="D12" s="541">
        <f>VLOOKUP(B12,'Daten Düngemittel'!$B$70:$E$114,2,FALSE)</f>
        <v>0</v>
      </c>
      <c r="E12" s="541">
        <f>VLOOKUP(B12,'Daten Düngemittel'!$B$70:$E$114,3,FALSE)</f>
        <v>0</v>
      </c>
      <c r="F12" s="541">
        <f>VLOOKUP(B12,'Daten Düngemittel'!$B$70:$E$114,4,FALSE)</f>
        <v>0</v>
      </c>
      <c r="G12" s="266">
        <f t="shared" si="0"/>
        <v>0</v>
      </c>
      <c r="H12" s="266">
        <f t="shared" si="1"/>
        <v>0</v>
      </c>
      <c r="I12" s="266">
        <f t="shared" si="2"/>
        <v>0</v>
      </c>
    </row>
    <row r="13" spans="1:9" ht="15.75">
      <c r="A13" s="845"/>
      <c r="B13" s="846" t="s">
        <v>163</v>
      </c>
      <c r="C13" s="847">
        <v>0</v>
      </c>
      <c r="D13" s="541">
        <f>VLOOKUP(B13,'Daten Düngemittel'!$B$70:$E$114,2,FALSE)</f>
        <v>0</v>
      </c>
      <c r="E13" s="541">
        <f>VLOOKUP(B13,'Daten Düngemittel'!$B$70:$E$114,3,FALSE)</f>
        <v>0</v>
      </c>
      <c r="F13" s="541">
        <f>VLOOKUP(B13,'Daten Düngemittel'!$B$70:$E$114,4,FALSE)</f>
        <v>0</v>
      </c>
      <c r="G13" s="266">
        <f t="shared" si="0"/>
        <v>0</v>
      </c>
      <c r="H13" s="266">
        <f t="shared" si="1"/>
        <v>0</v>
      </c>
      <c r="I13" s="266">
        <f t="shared" si="2"/>
        <v>0</v>
      </c>
    </row>
    <row r="14" spans="1:9" ht="15.75">
      <c r="A14" s="845"/>
      <c r="B14" s="846" t="s">
        <v>163</v>
      </c>
      <c r="C14" s="847">
        <v>0</v>
      </c>
      <c r="D14" s="541">
        <f>VLOOKUP(B14,'Daten Düngemittel'!$B$70:$E$114,2,FALSE)</f>
        <v>0</v>
      </c>
      <c r="E14" s="541">
        <f>VLOOKUP(B14,'Daten Düngemittel'!$B$70:$E$114,3,FALSE)</f>
        <v>0</v>
      </c>
      <c r="F14" s="541">
        <f>VLOOKUP(B14,'Daten Düngemittel'!$B$70:$E$114,4,FALSE)</f>
        <v>0</v>
      </c>
      <c r="G14" s="266">
        <f t="shared" si="0"/>
        <v>0</v>
      </c>
      <c r="H14" s="266">
        <f t="shared" si="1"/>
        <v>0</v>
      </c>
      <c r="I14" s="266">
        <f t="shared" si="2"/>
        <v>0</v>
      </c>
    </row>
    <row r="15" spans="1:9" ht="15.75">
      <c r="A15" s="845"/>
      <c r="B15" s="846" t="s">
        <v>163</v>
      </c>
      <c r="C15" s="847">
        <v>0</v>
      </c>
      <c r="D15" s="541">
        <f>VLOOKUP(B15,'Daten Düngemittel'!$B$70:$E$114,2,FALSE)</f>
        <v>0</v>
      </c>
      <c r="E15" s="541">
        <f>VLOOKUP(B15,'Daten Düngemittel'!$B$70:$E$114,3,FALSE)</f>
        <v>0</v>
      </c>
      <c r="F15" s="541">
        <f>VLOOKUP(B15,'Daten Düngemittel'!$B$70:$E$114,4,FALSE)</f>
        <v>0</v>
      </c>
      <c r="G15" s="266">
        <f t="shared" si="0"/>
        <v>0</v>
      </c>
      <c r="H15" s="266">
        <f t="shared" si="1"/>
        <v>0</v>
      </c>
      <c r="I15" s="266">
        <f t="shared" si="2"/>
        <v>0</v>
      </c>
    </row>
    <row r="16" spans="1:9" ht="15.75">
      <c r="A16" s="845"/>
      <c r="B16" s="846" t="s">
        <v>163</v>
      </c>
      <c r="C16" s="847">
        <v>0</v>
      </c>
      <c r="D16" s="541">
        <f>VLOOKUP(B16,'Daten Düngemittel'!$B$70:$E$114,2,FALSE)</f>
        <v>0</v>
      </c>
      <c r="E16" s="541">
        <f>VLOOKUP(B16,'Daten Düngemittel'!$B$70:$E$114,3,FALSE)</f>
        <v>0</v>
      </c>
      <c r="F16" s="541">
        <f>VLOOKUP(B16,'Daten Düngemittel'!$B$70:$E$114,4,FALSE)</f>
        <v>0</v>
      </c>
      <c r="G16" s="266">
        <f t="shared" si="0"/>
        <v>0</v>
      </c>
      <c r="H16" s="266">
        <f t="shared" si="1"/>
        <v>0</v>
      </c>
      <c r="I16" s="266">
        <f t="shared" si="2"/>
        <v>0</v>
      </c>
    </row>
    <row r="17" spans="1:9" ht="15.75">
      <c r="A17" s="845"/>
      <c r="B17" s="846" t="s">
        <v>163</v>
      </c>
      <c r="C17" s="847">
        <v>0</v>
      </c>
      <c r="D17" s="541">
        <f>VLOOKUP(B17,'Daten Düngemittel'!$B$70:$E$114,2,FALSE)</f>
        <v>0</v>
      </c>
      <c r="E17" s="541">
        <f>VLOOKUP(B17,'Daten Düngemittel'!$B$70:$E$114,3,FALSE)</f>
        <v>0</v>
      </c>
      <c r="F17" s="541">
        <f>VLOOKUP(B17,'Daten Düngemittel'!$B$70:$E$114,4,FALSE)</f>
        <v>0</v>
      </c>
      <c r="G17" s="266">
        <f t="shared" si="0"/>
        <v>0</v>
      </c>
      <c r="H17" s="266">
        <f t="shared" si="1"/>
        <v>0</v>
      </c>
      <c r="I17" s="266">
        <f t="shared" si="2"/>
        <v>0</v>
      </c>
    </row>
    <row r="18" spans="1:9" ht="15.75">
      <c r="A18" s="845"/>
      <c r="B18" s="846" t="s">
        <v>163</v>
      </c>
      <c r="C18" s="847">
        <v>0</v>
      </c>
      <c r="D18" s="541">
        <f>VLOOKUP(B18,'Daten Düngemittel'!$B$70:$E$114,2,FALSE)</f>
        <v>0</v>
      </c>
      <c r="E18" s="541">
        <f>VLOOKUP(B18,'Daten Düngemittel'!$B$70:$E$114,3,FALSE)</f>
        <v>0</v>
      </c>
      <c r="F18" s="541">
        <f>VLOOKUP(B18,'Daten Düngemittel'!$B$70:$E$114,4,FALSE)</f>
        <v>0</v>
      </c>
      <c r="G18" s="266">
        <f t="shared" si="0"/>
        <v>0</v>
      </c>
      <c r="H18" s="266">
        <f t="shared" si="1"/>
        <v>0</v>
      </c>
      <c r="I18" s="266">
        <f t="shared" si="2"/>
        <v>0</v>
      </c>
    </row>
    <row r="19" spans="1:9" ht="15.75">
      <c r="A19" s="845"/>
      <c r="B19" s="846" t="s">
        <v>163</v>
      </c>
      <c r="C19" s="847">
        <v>0</v>
      </c>
      <c r="D19" s="541">
        <f>VLOOKUP(B19,'Daten Düngemittel'!$B$70:$E$114,2,FALSE)</f>
        <v>0</v>
      </c>
      <c r="E19" s="541">
        <f>VLOOKUP(B19,'Daten Düngemittel'!$B$70:$E$114,3,FALSE)</f>
        <v>0</v>
      </c>
      <c r="F19" s="541">
        <f>VLOOKUP(B19,'Daten Düngemittel'!$B$70:$E$114,4,FALSE)</f>
        <v>0</v>
      </c>
      <c r="G19" s="266">
        <f t="shared" si="0"/>
        <v>0</v>
      </c>
      <c r="H19" s="266">
        <f t="shared" si="1"/>
        <v>0</v>
      </c>
      <c r="I19" s="266">
        <f t="shared" si="2"/>
        <v>0</v>
      </c>
    </row>
    <row r="20" spans="1:9" ht="15.75">
      <c r="A20" s="845"/>
      <c r="B20" s="846" t="s">
        <v>163</v>
      </c>
      <c r="C20" s="847">
        <v>0</v>
      </c>
      <c r="D20" s="541">
        <f>VLOOKUP(B20,'Daten Düngemittel'!$B$70:$E$114,2,FALSE)</f>
        <v>0</v>
      </c>
      <c r="E20" s="541">
        <f>VLOOKUP(B20,'Daten Düngemittel'!$B$70:$E$114,3,FALSE)</f>
        <v>0</v>
      </c>
      <c r="F20" s="541">
        <f>VLOOKUP(B20,'Daten Düngemittel'!$B$70:$E$114,4,FALSE)</f>
        <v>0</v>
      </c>
      <c r="G20" s="266">
        <f t="shared" si="0"/>
        <v>0</v>
      </c>
      <c r="H20" s="266">
        <f t="shared" si="1"/>
        <v>0</v>
      </c>
      <c r="I20" s="266">
        <f t="shared" si="2"/>
        <v>0</v>
      </c>
    </row>
    <row r="21" spans="1:9" ht="15.75">
      <c r="A21" s="845"/>
      <c r="B21" s="846" t="s">
        <v>163</v>
      </c>
      <c r="C21" s="847">
        <v>0</v>
      </c>
      <c r="D21" s="541">
        <f>VLOOKUP(B21,'Daten Düngemittel'!$B$70:$E$114,2,FALSE)</f>
        <v>0</v>
      </c>
      <c r="E21" s="541">
        <f>VLOOKUP(B21,'Daten Düngemittel'!$B$70:$E$114,3,FALSE)</f>
        <v>0</v>
      </c>
      <c r="F21" s="541">
        <f>VLOOKUP(B21,'Daten Düngemittel'!$B$70:$E$114,4,FALSE)</f>
        <v>0</v>
      </c>
      <c r="G21" s="266">
        <f t="shared" si="0"/>
        <v>0</v>
      </c>
      <c r="H21" s="266">
        <f t="shared" si="1"/>
        <v>0</v>
      </c>
      <c r="I21" s="266">
        <f t="shared" si="2"/>
        <v>0</v>
      </c>
    </row>
    <row r="22" spans="1:9" ht="15.75">
      <c r="A22" s="845"/>
      <c r="B22" s="846" t="s">
        <v>163</v>
      </c>
      <c r="C22" s="847">
        <v>0</v>
      </c>
      <c r="D22" s="541">
        <f>VLOOKUP(B22,'Daten Düngemittel'!$B$70:$E$114,2,FALSE)</f>
        <v>0</v>
      </c>
      <c r="E22" s="541">
        <f>VLOOKUP(B22,'Daten Düngemittel'!$B$70:$E$114,3,FALSE)</f>
        <v>0</v>
      </c>
      <c r="F22" s="541">
        <f>VLOOKUP(B22,'Daten Düngemittel'!$B$70:$E$114,4,FALSE)</f>
        <v>0</v>
      </c>
      <c r="G22" s="266">
        <f t="shared" si="0"/>
        <v>0</v>
      </c>
      <c r="H22" s="266">
        <f t="shared" si="1"/>
        <v>0</v>
      </c>
      <c r="I22" s="266">
        <f t="shared" si="2"/>
        <v>0</v>
      </c>
    </row>
    <row r="23" spans="1:9" ht="15.75">
      <c r="A23" s="845"/>
      <c r="B23" s="846" t="s">
        <v>163</v>
      </c>
      <c r="C23" s="847">
        <v>0</v>
      </c>
      <c r="D23" s="541">
        <f>VLOOKUP(B23,'Daten Düngemittel'!$B$70:$E$114,2,FALSE)</f>
        <v>0</v>
      </c>
      <c r="E23" s="541">
        <f>VLOOKUP(B23,'Daten Düngemittel'!$B$70:$E$114,3,FALSE)</f>
        <v>0</v>
      </c>
      <c r="F23" s="541">
        <f>VLOOKUP(B23,'Daten Düngemittel'!$B$70:$E$114,4,FALSE)</f>
        <v>0</v>
      </c>
      <c r="G23" s="266">
        <f t="shared" si="0"/>
        <v>0</v>
      </c>
      <c r="H23" s="266">
        <f t="shared" si="1"/>
        <v>0</v>
      </c>
      <c r="I23" s="266">
        <f t="shared" si="2"/>
        <v>0</v>
      </c>
    </row>
    <row r="24" spans="1:9" ht="15.75">
      <c r="A24" s="845"/>
      <c r="B24" s="846" t="s">
        <v>163</v>
      </c>
      <c r="C24" s="847">
        <v>0</v>
      </c>
      <c r="D24" s="541">
        <f>VLOOKUP(B24,'Daten Düngemittel'!$B$70:$E$114,2,FALSE)</f>
        <v>0</v>
      </c>
      <c r="E24" s="541">
        <f>VLOOKUP(B24,'Daten Düngemittel'!$B$70:$E$114,3,FALSE)</f>
        <v>0</v>
      </c>
      <c r="F24" s="541">
        <f>VLOOKUP(B24,'Daten Düngemittel'!$B$70:$E$114,4,FALSE)</f>
        <v>0</v>
      </c>
      <c r="G24" s="266">
        <f t="shared" si="0"/>
        <v>0</v>
      </c>
      <c r="H24" s="266">
        <f t="shared" si="1"/>
        <v>0</v>
      </c>
      <c r="I24" s="266">
        <f t="shared" si="2"/>
        <v>0</v>
      </c>
    </row>
    <row r="25" spans="1:9" ht="15.75">
      <c r="A25" s="845"/>
      <c r="B25" s="846" t="s">
        <v>163</v>
      </c>
      <c r="C25" s="847">
        <v>0</v>
      </c>
      <c r="D25" s="541">
        <f>VLOOKUP(B25,'Daten Düngemittel'!$B$70:$E$114,2,FALSE)</f>
        <v>0</v>
      </c>
      <c r="E25" s="541">
        <f>VLOOKUP(B25,'Daten Düngemittel'!$B$70:$E$114,3,FALSE)</f>
        <v>0</v>
      </c>
      <c r="F25" s="541">
        <f>VLOOKUP(B25,'Daten Düngemittel'!$B$70:$E$114,4,FALSE)</f>
        <v>0</v>
      </c>
      <c r="G25" s="266">
        <f t="shared" si="0"/>
        <v>0</v>
      </c>
      <c r="H25" s="266">
        <f t="shared" si="1"/>
        <v>0</v>
      </c>
      <c r="I25" s="266">
        <f t="shared" si="2"/>
        <v>0</v>
      </c>
    </row>
    <row r="26" spans="1:9" ht="15.75">
      <c r="A26" s="845"/>
      <c r="B26" s="846" t="s">
        <v>163</v>
      </c>
      <c r="C26" s="847">
        <v>0</v>
      </c>
      <c r="D26" s="541">
        <f>VLOOKUP(B26,'Daten Düngemittel'!$B$70:$E$114,2,FALSE)</f>
        <v>0</v>
      </c>
      <c r="E26" s="541">
        <f>VLOOKUP(B26,'Daten Düngemittel'!$B$70:$E$114,3,FALSE)</f>
        <v>0</v>
      </c>
      <c r="F26" s="541">
        <f>VLOOKUP(B26,'Daten Düngemittel'!$B$70:$E$114,4,FALSE)</f>
        <v>0</v>
      </c>
      <c r="G26" s="266">
        <f t="shared" si="0"/>
        <v>0</v>
      </c>
      <c r="H26" s="266">
        <f t="shared" si="1"/>
        <v>0</v>
      </c>
      <c r="I26" s="266">
        <f t="shared" si="2"/>
        <v>0</v>
      </c>
    </row>
    <row r="27" spans="1:9" ht="15.75">
      <c r="A27" s="845"/>
      <c r="B27" s="846" t="s">
        <v>163</v>
      </c>
      <c r="C27" s="847">
        <v>0</v>
      </c>
      <c r="D27" s="541">
        <f>VLOOKUP(B27,'Daten Düngemittel'!$B$70:$E$114,2,FALSE)</f>
        <v>0</v>
      </c>
      <c r="E27" s="541">
        <f>VLOOKUP(B27,'Daten Düngemittel'!$B$70:$E$114,3,FALSE)</f>
        <v>0</v>
      </c>
      <c r="F27" s="541">
        <f>VLOOKUP(B27,'Daten Düngemittel'!$B$70:$E$114,4,FALSE)</f>
        <v>0</v>
      </c>
      <c r="G27" s="266">
        <f t="shared" si="0"/>
        <v>0</v>
      </c>
      <c r="H27" s="266">
        <f t="shared" si="1"/>
        <v>0</v>
      </c>
      <c r="I27" s="266">
        <f t="shared" si="2"/>
        <v>0</v>
      </c>
    </row>
    <row r="28" spans="1:9" ht="15.75">
      <c r="A28" s="845"/>
      <c r="B28" s="846" t="s">
        <v>163</v>
      </c>
      <c r="C28" s="847">
        <v>0</v>
      </c>
      <c r="D28" s="541">
        <f>VLOOKUP(B28,'Daten Düngemittel'!$B$70:$E$114,2,FALSE)</f>
        <v>0</v>
      </c>
      <c r="E28" s="541">
        <f>VLOOKUP(B28,'Daten Düngemittel'!$B$70:$E$114,3,FALSE)</f>
        <v>0</v>
      </c>
      <c r="F28" s="541">
        <f>VLOOKUP(B28,'Daten Düngemittel'!$B$70:$E$114,4,FALSE)</f>
        <v>0</v>
      </c>
      <c r="G28" s="266">
        <f t="shared" si="0"/>
        <v>0</v>
      </c>
      <c r="H28" s="266">
        <f t="shared" si="1"/>
        <v>0</v>
      </c>
      <c r="I28" s="266">
        <f t="shared" si="2"/>
        <v>0</v>
      </c>
    </row>
    <row r="29" spans="1:9" ht="15.75">
      <c r="A29" s="845"/>
      <c r="B29" s="846" t="s">
        <v>163</v>
      </c>
      <c r="C29" s="847">
        <v>0</v>
      </c>
      <c r="D29" s="541">
        <f>VLOOKUP(B29,'Daten Düngemittel'!$B$70:$E$114,2,FALSE)</f>
        <v>0</v>
      </c>
      <c r="E29" s="541">
        <f>VLOOKUP(B29,'Daten Düngemittel'!$B$70:$E$114,3,FALSE)</f>
        <v>0</v>
      </c>
      <c r="F29" s="541">
        <f>VLOOKUP(B29,'Daten Düngemittel'!$B$70:$E$114,4,FALSE)</f>
        <v>0</v>
      </c>
      <c r="G29" s="266">
        <f t="shared" si="0"/>
        <v>0</v>
      </c>
      <c r="H29" s="266">
        <f t="shared" si="1"/>
        <v>0</v>
      </c>
      <c r="I29" s="266">
        <f t="shared" si="2"/>
        <v>0</v>
      </c>
    </row>
    <row r="30" spans="1:9" ht="15.75">
      <c r="A30" s="845"/>
      <c r="B30" s="846" t="s">
        <v>163</v>
      </c>
      <c r="C30" s="847">
        <v>0</v>
      </c>
      <c r="D30" s="541">
        <f>VLOOKUP(B30,'Daten Düngemittel'!$B$70:$E$114,2,FALSE)</f>
        <v>0</v>
      </c>
      <c r="E30" s="541">
        <f>VLOOKUP(B30,'Daten Düngemittel'!$B$70:$E$114,3,FALSE)</f>
        <v>0</v>
      </c>
      <c r="F30" s="541">
        <f>VLOOKUP(B30,'Daten Düngemittel'!$B$70:$E$114,4,FALSE)</f>
        <v>0</v>
      </c>
      <c r="G30" s="266">
        <f t="shared" si="0"/>
        <v>0</v>
      </c>
      <c r="H30" s="266">
        <f t="shared" si="1"/>
        <v>0</v>
      </c>
      <c r="I30" s="266">
        <f t="shared" si="2"/>
        <v>0</v>
      </c>
    </row>
    <row r="31" spans="1:9" ht="15.75">
      <c r="A31" s="845"/>
      <c r="B31" s="846" t="s">
        <v>163</v>
      </c>
      <c r="C31" s="847">
        <v>0</v>
      </c>
      <c r="D31" s="541">
        <f>VLOOKUP(B31,'Daten Düngemittel'!$B$70:$E$114,2,FALSE)</f>
        <v>0</v>
      </c>
      <c r="E31" s="541">
        <f>VLOOKUP(B31,'Daten Düngemittel'!$B$70:$E$114,3,FALSE)</f>
        <v>0</v>
      </c>
      <c r="F31" s="541">
        <f>VLOOKUP(B31,'Daten Düngemittel'!$B$70:$E$114,4,FALSE)</f>
        <v>0</v>
      </c>
      <c r="G31" s="266">
        <f t="shared" si="0"/>
        <v>0</v>
      </c>
      <c r="H31" s="266">
        <f t="shared" si="1"/>
        <v>0</v>
      </c>
      <c r="I31" s="266">
        <f t="shared" si="2"/>
        <v>0</v>
      </c>
    </row>
    <row r="32" spans="1:9" ht="15.75">
      <c r="A32" s="845"/>
      <c r="B32" s="846" t="s">
        <v>163</v>
      </c>
      <c r="C32" s="847">
        <v>0</v>
      </c>
      <c r="D32" s="541">
        <f>VLOOKUP(B32,'Daten Düngemittel'!$B$70:$E$114,2,FALSE)</f>
        <v>0</v>
      </c>
      <c r="E32" s="541">
        <f>VLOOKUP(B32,'Daten Düngemittel'!$B$70:$E$114,3,FALSE)</f>
        <v>0</v>
      </c>
      <c r="F32" s="541">
        <f>VLOOKUP(B32,'Daten Düngemittel'!$B$70:$E$114,4,FALSE)</f>
        <v>0</v>
      </c>
      <c r="G32" s="266">
        <f t="shared" si="0"/>
        <v>0</v>
      </c>
      <c r="H32" s="266">
        <f t="shared" si="1"/>
        <v>0</v>
      </c>
      <c r="I32" s="266">
        <f t="shared" si="2"/>
        <v>0</v>
      </c>
    </row>
    <row r="33" spans="1:9" ht="15.75">
      <c r="A33" s="845"/>
      <c r="B33" s="846" t="s">
        <v>163</v>
      </c>
      <c r="C33" s="847">
        <v>0</v>
      </c>
      <c r="D33" s="541">
        <f>VLOOKUP(B33,'Daten Düngemittel'!$B$70:$E$114,2,FALSE)</f>
        <v>0</v>
      </c>
      <c r="E33" s="541">
        <f>VLOOKUP(B33,'Daten Düngemittel'!$B$70:$E$114,3,FALSE)</f>
        <v>0</v>
      </c>
      <c r="F33" s="541">
        <f>VLOOKUP(B33,'Daten Düngemittel'!$B$70:$E$114,4,FALSE)</f>
        <v>0</v>
      </c>
      <c r="G33" s="266">
        <f t="shared" si="0"/>
        <v>0</v>
      </c>
      <c r="H33" s="266">
        <f t="shared" si="1"/>
        <v>0</v>
      </c>
      <c r="I33" s="266">
        <f t="shared" si="2"/>
        <v>0</v>
      </c>
    </row>
    <row r="34" spans="1:9" ht="15.75">
      <c r="A34" s="845"/>
      <c r="B34" s="846" t="s">
        <v>163</v>
      </c>
      <c r="C34" s="847">
        <v>0</v>
      </c>
      <c r="D34" s="541">
        <f>VLOOKUP(B34,'Daten Düngemittel'!$B$70:$E$114,2,FALSE)</f>
        <v>0</v>
      </c>
      <c r="E34" s="541">
        <f>VLOOKUP(B34,'Daten Düngemittel'!$B$70:$E$114,3,FALSE)</f>
        <v>0</v>
      </c>
      <c r="F34" s="541">
        <f>VLOOKUP(B34,'Daten Düngemittel'!$B$70:$E$114,4,FALSE)</f>
        <v>0</v>
      </c>
      <c r="G34" s="266">
        <f t="shared" si="0"/>
        <v>0</v>
      </c>
      <c r="H34" s="266">
        <f t="shared" si="1"/>
        <v>0</v>
      </c>
      <c r="I34" s="266">
        <f t="shared" si="2"/>
        <v>0</v>
      </c>
    </row>
    <row r="35" spans="1:9" ht="15.75">
      <c r="A35" s="845"/>
      <c r="B35" s="846" t="s">
        <v>163</v>
      </c>
      <c r="C35" s="847">
        <v>0</v>
      </c>
      <c r="D35" s="541">
        <f>VLOOKUP(B35,'Daten Düngemittel'!$B$70:$E$114,2,FALSE)</f>
        <v>0</v>
      </c>
      <c r="E35" s="541">
        <f>VLOOKUP(B35,'Daten Düngemittel'!$B$70:$E$114,3,FALSE)</f>
        <v>0</v>
      </c>
      <c r="F35" s="541">
        <f>VLOOKUP(B35,'Daten Düngemittel'!$B$70:$E$114,4,FALSE)</f>
        <v>0</v>
      </c>
      <c r="G35" s="266">
        <f t="shared" si="0"/>
        <v>0</v>
      </c>
      <c r="H35" s="266">
        <f t="shared" si="1"/>
        <v>0</v>
      </c>
      <c r="I35" s="266">
        <f t="shared" si="2"/>
        <v>0</v>
      </c>
    </row>
    <row r="36" spans="1:9" ht="15.75">
      <c r="A36" s="845"/>
      <c r="B36" s="846" t="s">
        <v>163</v>
      </c>
      <c r="C36" s="847">
        <v>0</v>
      </c>
      <c r="D36" s="541">
        <f>VLOOKUP(B36,'Daten Düngemittel'!$B$70:$E$114,2,FALSE)</f>
        <v>0</v>
      </c>
      <c r="E36" s="541">
        <f>VLOOKUP(B36,'Daten Düngemittel'!$B$70:$E$114,3,FALSE)</f>
        <v>0</v>
      </c>
      <c r="F36" s="541">
        <f>VLOOKUP(B36,'Daten Düngemittel'!$B$70:$E$114,4,FALSE)</f>
        <v>0</v>
      </c>
      <c r="G36" s="266">
        <f t="shared" si="0"/>
        <v>0</v>
      </c>
      <c r="H36" s="266">
        <f t="shared" si="1"/>
        <v>0</v>
      </c>
      <c r="I36" s="266">
        <f t="shared" si="2"/>
        <v>0</v>
      </c>
    </row>
    <row r="37" spans="1:9" ht="15.75">
      <c r="A37" s="845"/>
      <c r="B37" s="846" t="s">
        <v>163</v>
      </c>
      <c r="C37" s="847">
        <v>0</v>
      </c>
      <c r="D37" s="541">
        <f>VLOOKUP(B37,'Daten Düngemittel'!$B$70:$E$114,2,FALSE)</f>
        <v>0</v>
      </c>
      <c r="E37" s="541">
        <f>VLOOKUP(B37,'Daten Düngemittel'!$B$70:$E$114,3,FALSE)</f>
        <v>0</v>
      </c>
      <c r="F37" s="541">
        <f>VLOOKUP(B37,'Daten Düngemittel'!$B$70:$E$114,4,FALSE)</f>
        <v>0</v>
      </c>
      <c r="G37" s="266">
        <f t="shared" si="0"/>
        <v>0</v>
      </c>
      <c r="H37" s="266">
        <f t="shared" si="1"/>
        <v>0</v>
      </c>
      <c r="I37" s="266">
        <f t="shared" si="2"/>
        <v>0</v>
      </c>
    </row>
    <row r="38" spans="1:9" ht="15.75">
      <c r="A38" s="845"/>
      <c r="B38" s="846" t="s">
        <v>163</v>
      </c>
      <c r="C38" s="847">
        <v>0</v>
      </c>
      <c r="D38" s="541">
        <f>VLOOKUP(B38,'Daten Düngemittel'!$B$70:$E$114,2,FALSE)</f>
        <v>0</v>
      </c>
      <c r="E38" s="541">
        <f>VLOOKUP(B38,'Daten Düngemittel'!$B$70:$E$114,3,FALSE)</f>
        <v>0</v>
      </c>
      <c r="F38" s="541">
        <f>VLOOKUP(B38,'Daten Düngemittel'!$B$70:$E$114,4,FALSE)</f>
        <v>0</v>
      </c>
      <c r="G38" s="266">
        <f t="shared" si="0"/>
        <v>0</v>
      </c>
      <c r="H38" s="266">
        <f t="shared" si="1"/>
        <v>0</v>
      </c>
      <c r="I38" s="266">
        <f t="shared" si="2"/>
        <v>0</v>
      </c>
    </row>
    <row r="39" spans="1:9" ht="15.75">
      <c r="A39" s="845"/>
      <c r="B39" s="846" t="s">
        <v>163</v>
      </c>
      <c r="C39" s="847">
        <v>0</v>
      </c>
      <c r="D39" s="541">
        <f>VLOOKUP(B39,'Daten Düngemittel'!$B$70:$E$114,2,FALSE)</f>
        <v>0</v>
      </c>
      <c r="E39" s="541">
        <f>VLOOKUP(B39,'Daten Düngemittel'!$B$70:$E$114,3,FALSE)</f>
        <v>0</v>
      </c>
      <c r="F39" s="541">
        <f>VLOOKUP(B39,'Daten Düngemittel'!$B$70:$E$114,4,FALSE)</f>
        <v>0</v>
      </c>
      <c r="G39" s="266">
        <f t="shared" si="0"/>
        <v>0</v>
      </c>
      <c r="H39" s="266">
        <f t="shared" si="1"/>
        <v>0</v>
      </c>
      <c r="I39" s="266">
        <f t="shared" si="2"/>
        <v>0</v>
      </c>
    </row>
    <row r="40" spans="1:9" ht="15.75">
      <c r="A40" s="845"/>
      <c r="B40" s="846" t="s">
        <v>163</v>
      </c>
      <c r="C40" s="847">
        <v>0</v>
      </c>
      <c r="D40" s="541">
        <f>VLOOKUP(B40,'Daten Düngemittel'!$B$70:$E$114,2,FALSE)</f>
        <v>0</v>
      </c>
      <c r="E40" s="541">
        <f>VLOOKUP(B40,'Daten Düngemittel'!$B$70:$E$114,3,FALSE)</f>
        <v>0</v>
      </c>
      <c r="F40" s="541">
        <f>VLOOKUP(B40,'Daten Düngemittel'!$B$70:$E$114,4,FALSE)</f>
        <v>0</v>
      </c>
      <c r="G40" s="266">
        <f t="shared" si="0"/>
        <v>0</v>
      </c>
      <c r="H40" s="266">
        <f t="shared" si="1"/>
        <v>0</v>
      </c>
      <c r="I40" s="266">
        <f t="shared" si="2"/>
        <v>0</v>
      </c>
    </row>
    <row r="41" spans="1:9" ht="15.75">
      <c r="A41" s="845"/>
      <c r="B41" s="846" t="s">
        <v>163</v>
      </c>
      <c r="C41" s="847">
        <v>0</v>
      </c>
      <c r="D41" s="541">
        <f>VLOOKUP(B41,'Daten Düngemittel'!$B$70:$E$114,2,FALSE)</f>
        <v>0</v>
      </c>
      <c r="E41" s="541">
        <f>VLOOKUP(B41,'Daten Düngemittel'!$B$70:$E$114,3,FALSE)</f>
        <v>0</v>
      </c>
      <c r="F41" s="541">
        <f>VLOOKUP(B41,'Daten Düngemittel'!$B$70:$E$114,4,FALSE)</f>
        <v>0</v>
      </c>
      <c r="G41" s="266">
        <f t="shared" si="0"/>
        <v>0</v>
      </c>
      <c r="H41" s="266">
        <f t="shared" si="1"/>
        <v>0</v>
      </c>
      <c r="I41" s="266">
        <f t="shared" si="2"/>
        <v>0</v>
      </c>
    </row>
    <row r="42" spans="1:9" ht="15.75">
      <c r="A42" s="845"/>
      <c r="B42" s="846" t="s">
        <v>163</v>
      </c>
      <c r="C42" s="847">
        <v>0</v>
      </c>
      <c r="D42" s="541">
        <f>VLOOKUP(B42,'Daten Düngemittel'!$B$70:$E$114,2,FALSE)</f>
        <v>0</v>
      </c>
      <c r="E42" s="541">
        <f>VLOOKUP(B42,'Daten Düngemittel'!$B$70:$E$114,3,FALSE)</f>
        <v>0</v>
      </c>
      <c r="F42" s="541">
        <f>VLOOKUP(B42,'Daten Düngemittel'!$B$70:$E$114,4,FALSE)</f>
        <v>0</v>
      </c>
      <c r="G42" s="266">
        <f t="shared" si="0"/>
        <v>0</v>
      </c>
      <c r="H42" s="266">
        <f t="shared" si="1"/>
        <v>0</v>
      </c>
      <c r="I42" s="266">
        <f t="shared" si="2"/>
        <v>0</v>
      </c>
    </row>
    <row r="43" spans="1:9" s="723" customFormat="1" ht="17.25" customHeight="1">
      <c r="F43" s="769" t="s">
        <v>38</v>
      </c>
      <c r="G43" s="340">
        <f>SUM(G6:G42)</f>
        <v>0</v>
      </c>
      <c r="H43" s="340">
        <f t="shared" ref="H43:I43" si="3">SUM(H6:H42)</f>
        <v>0</v>
      </c>
      <c r="I43" s="340">
        <f t="shared" si="3"/>
        <v>0</v>
      </c>
    </row>
  </sheetData>
  <sheetProtection sheet="1" objects="1" scenarios="1" formatColumns="0" formatRows="0" selectLockedCells="1"/>
  <mergeCells count="3">
    <mergeCell ref="D4:F4"/>
    <mergeCell ref="G4:I4"/>
    <mergeCell ref="B1:E2"/>
  </mergeCells>
  <dataValidations count="1">
    <dataValidation type="list" allowBlank="1" showInputMessage="1" showErrorMessage="1" sqref="B6:B42">
      <formula1>Handelsdg</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9" tint="0.59999389629810485"/>
  </sheetPr>
  <dimension ref="A1:T76"/>
  <sheetViews>
    <sheetView topLeftCell="A31" zoomScale="80" zoomScaleNormal="80" workbookViewId="0">
      <selection activeCell="C7" sqref="C7"/>
    </sheetView>
  </sheetViews>
  <sheetFormatPr baseColWidth="10" defaultRowHeight="15"/>
  <cols>
    <col min="1" max="1" width="16.28515625" customWidth="1"/>
    <col min="2" max="2" width="38.7109375" customWidth="1"/>
    <col min="3" max="3" width="15.28515625" customWidth="1"/>
    <col min="4" max="6" width="11" customWidth="1"/>
    <col min="7" max="7" width="17.28515625" customWidth="1"/>
    <col min="8" max="8" width="12.85546875" customWidth="1"/>
    <col min="9" max="10" width="9.140625" customWidth="1"/>
    <col min="11" max="11" width="12.28515625" customWidth="1"/>
    <col min="12" max="12" width="13.5703125" customWidth="1"/>
    <col min="13" max="13" width="10.28515625" customWidth="1"/>
    <col min="14" max="15" width="9" customWidth="1"/>
  </cols>
  <sheetData>
    <row r="1" spans="1:20" ht="35.25" customHeight="1">
      <c r="B1" s="1321" t="s">
        <v>1124</v>
      </c>
      <c r="C1" s="1322"/>
      <c r="D1" s="1322"/>
      <c r="E1" s="1322"/>
      <c r="F1" s="1322"/>
      <c r="H1" s="1312" t="s">
        <v>1139</v>
      </c>
      <c r="I1" s="1313"/>
      <c r="J1" s="1313"/>
      <c r="K1" s="1313"/>
      <c r="L1" s="1313"/>
      <c r="M1" s="1313"/>
      <c r="N1" s="1313"/>
      <c r="O1" s="1314"/>
    </row>
    <row r="2" spans="1:20" ht="43.5" customHeight="1" thickBot="1">
      <c r="B2" s="1322"/>
      <c r="C2" s="1322"/>
      <c r="D2" s="1322"/>
      <c r="E2" s="1322"/>
      <c r="F2" s="1322"/>
      <c r="H2" s="1315"/>
      <c r="I2" s="1316"/>
      <c r="J2" s="1316"/>
      <c r="K2" s="1316"/>
      <c r="L2" s="1316"/>
      <c r="M2" s="1316"/>
      <c r="N2" s="1316"/>
      <c r="O2" s="1317"/>
    </row>
    <row r="3" spans="1:20" ht="51" customHeight="1" thickBot="1">
      <c r="B3" s="1246" t="s">
        <v>1138</v>
      </c>
      <c r="C3" s="1247"/>
      <c r="D3" s="1247"/>
      <c r="E3" s="1247"/>
      <c r="F3" s="1248"/>
      <c r="H3" s="1315"/>
      <c r="I3" s="1316"/>
      <c r="J3" s="1316"/>
      <c r="K3" s="1316"/>
      <c r="L3" s="1316"/>
      <c r="M3" s="1316"/>
      <c r="N3" s="1316"/>
      <c r="O3" s="1317"/>
    </row>
    <row r="4" spans="1:20" s="5" customFormat="1" ht="46.5" customHeight="1" thickBot="1">
      <c r="A4" s="306"/>
      <c r="B4" s="766"/>
      <c r="C4" s="766"/>
      <c r="D4" s="766"/>
      <c r="E4" s="766"/>
      <c r="F4" s="766"/>
      <c r="G4" s="414"/>
      <c r="H4" s="1318"/>
      <c r="I4" s="1319"/>
      <c r="J4" s="1319"/>
      <c r="K4" s="1319"/>
      <c r="L4" s="1319"/>
      <c r="M4" s="1319"/>
      <c r="N4" s="1319"/>
      <c r="O4" s="1320"/>
    </row>
    <row r="5" spans="1:20" s="135" customFormat="1" ht="36" customHeight="1">
      <c r="A5" s="434"/>
      <c r="B5" s="420"/>
      <c r="C5" s="420"/>
      <c r="D5" s="1285" t="s">
        <v>132</v>
      </c>
      <c r="E5" s="1285"/>
      <c r="F5" s="1285"/>
      <c r="G5" s="506" t="s">
        <v>78</v>
      </c>
      <c r="H5" s="1331" t="s">
        <v>444</v>
      </c>
      <c r="I5" s="1332"/>
      <c r="J5" s="1332"/>
      <c r="K5" s="1333"/>
      <c r="L5" s="5"/>
      <c r="N5" s="765"/>
      <c r="O5" s="765"/>
      <c r="P5" s="765"/>
      <c r="Q5" s="765"/>
      <c r="R5" s="765"/>
      <c r="S5" s="765"/>
      <c r="T5" s="765"/>
    </row>
    <row r="6" spans="1:20" s="5" customFormat="1" ht="49.5" customHeight="1">
      <c r="A6" s="421" t="s">
        <v>351</v>
      </c>
      <c r="B6" s="619" t="s">
        <v>1109</v>
      </c>
      <c r="C6" s="553" t="s">
        <v>755</v>
      </c>
      <c r="D6" s="330" t="s">
        <v>16</v>
      </c>
      <c r="E6" s="330" t="s">
        <v>113</v>
      </c>
      <c r="F6" s="330" t="s">
        <v>114</v>
      </c>
      <c r="G6" s="724" t="s">
        <v>105</v>
      </c>
      <c r="H6" s="404" t="s">
        <v>404</v>
      </c>
      <c r="I6" s="330" t="s">
        <v>16</v>
      </c>
      <c r="J6" s="330" t="s">
        <v>113</v>
      </c>
      <c r="K6" s="330" t="s">
        <v>114</v>
      </c>
      <c r="N6" s="765"/>
      <c r="O6" s="765"/>
      <c r="P6" s="765"/>
      <c r="Q6" s="765"/>
      <c r="R6" s="765"/>
      <c r="S6" s="765"/>
      <c r="T6" s="765"/>
    </row>
    <row r="7" spans="1:20" s="5" customFormat="1" ht="15" customHeight="1">
      <c r="A7" s="843"/>
      <c r="B7" s="820" t="s">
        <v>163</v>
      </c>
      <c r="C7" s="844">
        <v>0</v>
      </c>
      <c r="D7" s="388">
        <f>VLOOKUP($B$7,'Daten Düngemittel'!$B$5:$J$51,3,FALSE)</f>
        <v>0</v>
      </c>
      <c r="E7" s="388">
        <f>VLOOKUP(B7,'Daten Düngemittel'!$B$5:$J$51,4,FALSE)</f>
        <v>0</v>
      </c>
      <c r="F7" s="388">
        <f>VLOOKUP(B7,'Daten Düngemittel'!$B$5:$J$51,5,FALSE)</f>
        <v>0</v>
      </c>
      <c r="G7" s="539">
        <f>C7*D7</f>
        <v>0</v>
      </c>
      <c r="H7" s="539">
        <f>VLOOKUP(B7,'Daten Düngemittel'!$B$5:$J$51,9,FALSE)*I7/100</f>
        <v>0</v>
      </c>
      <c r="I7" s="20">
        <f t="shared" ref="I7:I26" si="0">C7*D7</f>
        <v>0</v>
      </c>
      <c r="J7" s="20">
        <f t="shared" ref="J7:J26" si="1">C7*E7</f>
        <v>0</v>
      </c>
      <c r="K7" s="20">
        <f t="shared" ref="K7:K26" si="2">C7*F7</f>
        <v>0</v>
      </c>
      <c r="N7" s="765"/>
      <c r="O7" s="765"/>
      <c r="P7" s="765"/>
      <c r="Q7" s="765"/>
      <c r="R7" s="765"/>
      <c r="S7" s="765"/>
      <c r="T7" s="765"/>
    </row>
    <row r="8" spans="1:20" s="5" customFormat="1" ht="15" customHeight="1">
      <c r="A8" s="843"/>
      <c r="B8" s="820" t="s">
        <v>163</v>
      </c>
      <c r="C8" s="844">
        <v>0</v>
      </c>
      <c r="D8" s="388">
        <f>VLOOKUP(B8,'Daten Düngemittel'!$B$5:$J$51,3,FALSE)</f>
        <v>0</v>
      </c>
      <c r="E8" s="388">
        <f>VLOOKUP(B8,'Daten Düngemittel'!$B$5:$J$51,4,FALSE)</f>
        <v>0</v>
      </c>
      <c r="F8" s="388">
        <f>VLOOKUP(B8,'Daten Düngemittel'!$B$5:$J$51,5,FALSE)</f>
        <v>0</v>
      </c>
      <c r="G8" s="539">
        <f t="shared" ref="G8:G26" si="3">C8*D8</f>
        <v>0</v>
      </c>
      <c r="H8" s="539">
        <f>VLOOKUP(B8,'Daten Düngemittel'!$B$5:$J$51,9,FALSE)*I8/100</f>
        <v>0</v>
      </c>
      <c r="I8" s="20">
        <f t="shared" si="0"/>
        <v>0</v>
      </c>
      <c r="J8" s="20">
        <f t="shared" si="1"/>
        <v>0</v>
      </c>
      <c r="K8" s="20">
        <f t="shared" si="2"/>
        <v>0</v>
      </c>
      <c r="N8" s="765"/>
      <c r="O8" s="765"/>
      <c r="P8" s="765"/>
      <c r="Q8" s="765"/>
      <c r="R8" s="765"/>
      <c r="S8" s="765"/>
      <c r="T8" s="765"/>
    </row>
    <row r="9" spans="1:20" s="5" customFormat="1" ht="15" customHeight="1">
      <c r="A9" s="843"/>
      <c r="B9" s="820" t="s">
        <v>163</v>
      </c>
      <c r="C9" s="844">
        <v>0</v>
      </c>
      <c r="D9" s="388">
        <f>VLOOKUP(B9,'Daten Düngemittel'!$B$5:$J$51,3,FALSE)</f>
        <v>0</v>
      </c>
      <c r="E9" s="388">
        <f>VLOOKUP(B9,'Daten Düngemittel'!$B$5:$J$51,4,FALSE)</f>
        <v>0</v>
      </c>
      <c r="F9" s="388">
        <f>VLOOKUP(B9,'Daten Düngemittel'!$B$5:$J$51,5,FALSE)</f>
        <v>0</v>
      </c>
      <c r="G9" s="539">
        <f t="shared" si="3"/>
        <v>0</v>
      </c>
      <c r="H9" s="539">
        <f>VLOOKUP(B9,'Daten Düngemittel'!$B$5:$J$51,9,FALSE)*I9/100</f>
        <v>0</v>
      </c>
      <c r="I9" s="20">
        <f t="shared" si="0"/>
        <v>0</v>
      </c>
      <c r="J9" s="20">
        <f t="shared" si="1"/>
        <v>0</v>
      </c>
      <c r="K9" s="20">
        <f t="shared" si="2"/>
        <v>0</v>
      </c>
      <c r="N9" s="765"/>
      <c r="O9" s="765"/>
      <c r="P9" s="765"/>
      <c r="Q9" s="765"/>
      <c r="R9" s="765"/>
      <c r="S9" s="765"/>
      <c r="T9" s="765"/>
    </row>
    <row r="10" spans="1:20" s="5" customFormat="1">
      <c r="A10" s="843"/>
      <c r="B10" s="820" t="s">
        <v>163</v>
      </c>
      <c r="C10" s="844">
        <v>0</v>
      </c>
      <c r="D10" s="388">
        <f>VLOOKUP(B10,'Daten Düngemittel'!$B$5:$J$51,3,FALSE)</f>
        <v>0</v>
      </c>
      <c r="E10" s="388">
        <f>VLOOKUP(B10,'Daten Düngemittel'!$B$5:$J$51,4,FALSE)</f>
        <v>0</v>
      </c>
      <c r="F10" s="388">
        <f>VLOOKUP(B10,'Daten Düngemittel'!$B$5:$J$51,5,FALSE)</f>
        <v>0</v>
      </c>
      <c r="G10" s="539">
        <f t="shared" si="3"/>
        <v>0</v>
      </c>
      <c r="H10" s="539">
        <f>VLOOKUP(B10,'Daten Düngemittel'!$B$5:$J$51,9,FALSE)*I10/100</f>
        <v>0</v>
      </c>
      <c r="I10" s="20">
        <f t="shared" si="0"/>
        <v>0</v>
      </c>
      <c r="J10" s="20">
        <f t="shared" si="1"/>
        <v>0</v>
      </c>
      <c r="K10" s="20">
        <f t="shared" si="2"/>
        <v>0</v>
      </c>
    </row>
    <row r="11" spans="1:20" s="5" customFormat="1">
      <c r="A11" s="843"/>
      <c r="B11" s="820" t="s">
        <v>163</v>
      </c>
      <c r="C11" s="844">
        <v>0</v>
      </c>
      <c r="D11" s="388">
        <f>VLOOKUP(B11,'Daten Düngemittel'!$B$5:$J$51,3,FALSE)</f>
        <v>0</v>
      </c>
      <c r="E11" s="388">
        <f>VLOOKUP(B11,'Daten Düngemittel'!$B$5:$J$51,4,FALSE)</f>
        <v>0</v>
      </c>
      <c r="F11" s="388">
        <f>VLOOKUP(B11,'Daten Düngemittel'!$B$5:$J$51,5,FALSE)</f>
        <v>0</v>
      </c>
      <c r="G11" s="539">
        <f t="shared" si="3"/>
        <v>0</v>
      </c>
      <c r="H11" s="539">
        <f>VLOOKUP(B11,'Daten Düngemittel'!$B$5:$J$51,9,FALSE)*I11/100</f>
        <v>0</v>
      </c>
      <c r="I11" s="20">
        <f t="shared" si="0"/>
        <v>0</v>
      </c>
      <c r="J11" s="20">
        <f t="shared" si="1"/>
        <v>0</v>
      </c>
      <c r="K11" s="20">
        <f t="shared" si="2"/>
        <v>0</v>
      </c>
    </row>
    <row r="12" spans="1:20" s="5" customFormat="1">
      <c r="A12" s="843"/>
      <c r="B12" s="820" t="s">
        <v>163</v>
      </c>
      <c r="C12" s="844">
        <v>0</v>
      </c>
      <c r="D12" s="388">
        <f>VLOOKUP(B12,'Daten Düngemittel'!$B$5:$J$51,3,FALSE)</f>
        <v>0</v>
      </c>
      <c r="E12" s="388">
        <f>VLOOKUP(B12,'Daten Düngemittel'!$B$5:$J$51,4,FALSE)</f>
        <v>0</v>
      </c>
      <c r="F12" s="388">
        <f>VLOOKUP(B12,'Daten Düngemittel'!$B$5:$J$51,5,FALSE)</f>
        <v>0</v>
      </c>
      <c r="G12" s="539">
        <f t="shared" si="3"/>
        <v>0</v>
      </c>
      <c r="H12" s="539">
        <f>VLOOKUP(B12,'Daten Düngemittel'!$B$5:$J$51,9,FALSE)*I12/100</f>
        <v>0</v>
      </c>
      <c r="I12" s="20">
        <f t="shared" si="0"/>
        <v>0</v>
      </c>
      <c r="J12" s="20">
        <f t="shared" si="1"/>
        <v>0</v>
      </c>
      <c r="K12" s="20">
        <f t="shared" si="2"/>
        <v>0</v>
      </c>
    </row>
    <row r="13" spans="1:20" s="5" customFormat="1">
      <c r="A13" s="843"/>
      <c r="B13" s="820" t="s">
        <v>163</v>
      </c>
      <c r="C13" s="844">
        <v>0</v>
      </c>
      <c r="D13" s="388">
        <f>VLOOKUP(B13,'Daten Düngemittel'!$B$5:$J$51,3,FALSE)</f>
        <v>0</v>
      </c>
      <c r="E13" s="388">
        <f>VLOOKUP(B13,'Daten Düngemittel'!$B$5:$J$51,4,FALSE)</f>
        <v>0</v>
      </c>
      <c r="F13" s="388">
        <f>VLOOKUP(B13,'Daten Düngemittel'!$B$5:$J$51,5,FALSE)</f>
        <v>0</v>
      </c>
      <c r="G13" s="539">
        <f t="shared" si="3"/>
        <v>0</v>
      </c>
      <c r="H13" s="539">
        <f>VLOOKUP(B13,'Daten Düngemittel'!$B$5:$J$51,9,FALSE)*I13/100</f>
        <v>0</v>
      </c>
      <c r="I13" s="20">
        <f t="shared" si="0"/>
        <v>0</v>
      </c>
      <c r="J13" s="20">
        <f t="shared" si="1"/>
        <v>0</v>
      </c>
      <c r="K13" s="20">
        <f t="shared" si="2"/>
        <v>0</v>
      </c>
    </row>
    <row r="14" spans="1:20" s="5" customFormat="1">
      <c r="A14" s="843"/>
      <c r="B14" s="820" t="s">
        <v>163</v>
      </c>
      <c r="C14" s="844">
        <v>0</v>
      </c>
      <c r="D14" s="388">
        <f>VLOOKUP(B14,'Daten Düngemittel'!$B$5:$J$51,3,FALSE)</f>
        <v>0</v>
      </c>
      <c r="E14" s="388">
        <f>VLOOKUP(B14,'Daten Düngemittel'!$B$5:$J$51,4,FALSE)</f>
        <v>0</v>
      </c>
      <c r="F14" s="388">
        <f>VLOOKUP(B14,'Daten Düngemittel'!$B$5:$J$51,5,FALSE)</f>
        <v>0</v>
      </c>
      <c r="G14" s="539">
        <f t="shared" si="3"/>
        <v>0</v>
      </c>
      <c r="H14" s="539">
        <f>VLOOKUP(B14,'Daten Düngemittel'!$B$5:$J$51,9,FALSE)*I14/100</f>
        <v>0</v>
      </c>
      <c r="I14" s="20">
        <f t="shared" si="0"/>
        <v>0</v>
      </c>
      <c r="J14" s="20">
        <f t="shared" si="1"/>
        <v>0</v>
      </c>
      <c r="K14" s="20">
        <f t="shared" si="2"/>
        <v>0</v>
      </c>
    </row>
    <row r="15" spans="1:20" s="5" customFormat="1">
      <c r="A15" s="843"/>
      <c r="B15" s="820" t="s">
        <v>163</v>
      </c>
      <c r="C15" s="844">
        <v>0</v>
      </c>
      <c r="D15" s="388">
        <f>VLOOKUP(B15,'Daten Düngemittel'!$B$5:$J$51,3,FALSE)</f>
        <v>0</v>
      </c>
      <c r="E15" s="388">
        <f>VLOOKUP(B15,'Daten Düngemittel'!$B$5:$J$51,4,FALSE)</f>
        <v>0</v>
      </c>
      <c r="F15" s="388">
        <f>VLOOKUP(B15,'Daten Düngemittel'!$B$5:$J$51,5,FALSE)</f>
        <v>0</v>
      </c>
      <c r="G15" s="539">
        <f t="shared" si="3"/>
        <v>0</v>
      </c>
      <c r="H15" s="539">
        <f>VLOOKUP(B15,'Daten Düngemittel'!$B$5:$J$51,9,FALSE)*I15/100</f>
        <v>0</v>
      </c>
      <c r="I15" s="20">
        <f t="shared" si="0"/>
        <v>0</v>
      </c>
      <c r="J15" s="20">
        <f t="shared" si="1"/>
        <v>0</v>
      </c>
      <c r="K15" s="20">
        <f t="shared" si="2"/>
        <v>0</v>
      </c>
    </row>
    <row r="16" spans="1:20" s="5" customFormat="1">
      <c r="A16" s="843"/>
      <c r="B16" s="820" t="s">
        <v>163</v>
      </c>
      <c r="C16" s="844">
        <v>0</v>
      </c>
      <c r="D16" s="388">
        <f>VLOOKUP(B16,'Daten Düngemittel'!$B$5:$J$51,3,FALSE)</f>
        <v>0</v>
      </c>
      <c r="E16" s="388">
        <f>VLOOKUP(B16,'Daten Düngemittel'!$B$5:$J$51,4,FALSE)</f>
        <v>0</v>
      </c>
      <c r="F16" s="388">
        <f>VLOOKUP(B16,'Daten Düngemittel'!$B$5:$J$51,5,FALSE)</f>
        <v>0</v>
      </c>
      <c r="G16" s="539">
        <f t="shared" si="3"/>
        <v>0</v>
      </c>
      <c r="H16" s="539">
        <f>VLOOKUP(B16,'Daten Düngemittel'!$B$5:$J$51,9,FALSE)*I16/100</f>
        <v>0</v>
      </c>
      <c r="I16" s="20">
        <f t="shared" si="0"/>
        <v>0</v>
      </c>
      <c r="J16" s="20">
        <f t="shared" si="1"/>
        <v>0</v>
      </c>
      <c r="K16" s="20">
        <f t="shared" si="2"/>
        <v>0</v>
      </c>
    </row>
    <row r="17" spans="1:11" s="5" customFormat="1">
      <c r="A17" s="843"/>
      <c r="B17" s="820" t="s">
        <v>163</v>
      </c>
      <c r="C17" s="844">
        <v>0</v>
      </c>
      <c r="D17" s="388">
        <f>VLOOKUP(B17,'Daten Düngemittel'!$B$5:$J$51,3,FALSE)</f>
        <v>0</v>
      </c>
      <c r="E17" s="388">
        <f>VLOOKUP(B17,'Daten Düngemittel'!$B$5:$J$51,4,FALSE)</f>
        <v>0</v>
      </c>
      <c r="F17" s="388">
        <f>VLOOKUP(B17,'Daten Düngemittel'!$B$5:$J$51,5,FALSE)</f>
        <v>0</v>
      </c>
      <c r="G17" s="539">
        <f t="shared" si="3"/>
        <v>0</v>
      </c>
      <c r="H17" s="539">
        <f>VLOOKUP(B17,'Daten Düngemittel'!$B$5:$J$51,9,FALSE)*I17/100</f>
        <v>0</v>
      </c>
      <c r="I17" s="20">
        <f t="shared" si="0"/>
        <v>0</v>
      </c>
      <c r="J17" s="20">
        <f t="shared" si="1"/>
        <v>0</v>
      </c>
      <c r="K17" s="20">
        <f t="shared" si="2"/>
        <v>0</v>
      </c>
    </row>
    <row r="18" spans="1:11" s="5" customFormat="1">
      <c r="A18" s="843"/>
      <c r="B18" s="820" t="s">
        <v>163</v>
      </c>
      <c r="C18" s="844">
        <v>0</v>
      </c>
      <c r="D18" s="388">
        <f>VLOOKUP(B18,'Daten Düngemittel'!$B$5:$J$51,3,FALSE)</f>
        <v>0</v>
      </c>
      <c r="E18" s="388">
        <f>VLOOKUP(B18,'Daten Düngemittel'!$B$5:$J$51,4,FALSE)</f>
        <v>0</v>
      </c>
      <c r="F18" s="388">
        <f>VLOOKUP(B18,'Daten Düngemittel'!$B$5:$J$51,5,FALSE)</f>
        <v>0</v>
      </c>
      <c r="G18" s="539">
        <f t="shared" si="3"/>
        <v>0</v>
      </c>
      <c r="H18" s="539">
        <f>VLOOKUP(B18,'Daten Düngemittel'!$B$5:$J$51,9,FALSE)*I18/100</f>
        <v>0</v>
      </c>
      <c r="I18" s="20">
        <f t="shared" si="0"/>
        <v>0</v>
      </c>
      <c r="J18" s="20">
        <f t="shared" si="1"/>
        <v>0</v>
      </c>
      <c r="K18" s="20">
        <f t="shared" si="2"/>
        <v>0</v>
      </c>
    </row>
    <row r="19" spans="1:11" s="5" customFormat="1">
      <c r="A19" s="843"/>
      <c r="B19" s="820" t="s">
        <v>163</v>
      </c>
      <c r="C19" s="844">
        <v>0</v>
      </c>
      <c r="D19" s="388">
        <f>VLOOKUP(B19,'Daten Düngemittel'!$B$5:$J$51,3,FALSE)</f>
        <v>0</v>
      </c>
      <c r="E19" s="388">
        <f>VLOOKUP(B19,'Daten Düngemittel'!$B$5:$J$51,4,FALSE)</f>
        <v>0</v>
      </c>
      <c r="F19" s="388">
        <f>VLOOKUP(B19,'Daten Düngemittel'!$B$5:$J$51,5,FALSE)</f>
        <v>0</v>
      </c>
      <c r="G19" s="539">
        <f t="shared" si="3"/>
        <v>0</v>
      </c>
      <c r="H19" s="539">
        <f>VLOOKUP(B19,'Daten Düngemittel'!$B$5:$J$51,9,FALSE)*I19/100</f>
        <v>0</v>
      </c>
      <c r="I19" s="20">
        <f t="shared" si="0"/>
        <v>0</v>
      </c>
      <c r="J19" s="20">
        <f t="shared" si="1"/>
        <v>0</v>
      </c>
      <c r="K19" s="20">
        <f t="shared" si="2"/>
        <v>0</v>
      </c>
    </row>
    <row r="20" spans="1:11" s="5" customFormat="1">
      <c r="A20" s="843"/>
      <c r="B20" s="820" t="s">
        <v>163</v>
      </c>
      <c r="C20" s="844">
        <v>0</v>
      </c>
      <c r="D20" s="388">
        <f>VLOOKUP(B20,'Daten Düngemittel'!$B$5:$J$51,3,FALSE)</f>
        <v>0</v>
      </c>
      <c r="E20" s="388">
        <f>VLOOKUP(B20,'Daten Düngemittel'!$B$5:$J$51,4,FALSE)</f>
        <v>0</v>
      </c>
      <c r="F20" s="388">
        <f>VLOOKUP(B20,'Daten Düngemittel'!$B$5:$J$51,5,FALSE)</f>
        <v>0</v>
      </c>
      <c r="G20" s="539">
        <f t="shared" si="3"/>
        <v>0</v>
      </c>
      <c r="H20" s="539">
        <f>VLOOKUP(B20,'Daten Düngemittel'!$B$5:$J$51,9,FALSE)*I20/100</f>
        <v>0</v>
      </c>
      <c r="I20" s="20">
        <f t="shared" si="0"/>
        <v>0</v>
      </c>
      <c r="J20" s="20">
        <f t="shared" si="1"/>
        <v>0</v>
      </c>
      <c r="K20" s="20">
        <f t="shared" si="2"/>
        <v>0</v>
      </c>
    </row>
    <row r="21" spans="1:11" s="5" customFormat="1">
      <c r="A21" s="843"/>
      <c r="B21" s="820" t="s">
        <v>163</v>
      </c>
      <c r="C21" s="844">
        <v>0</v>
      </c>
      <c r="D21" s="388">
        <f>VLOOKUP(B21,'Daten Düngemittel'!$B$5:$J$51,3,FALSE)</f>
        <v>0</v>
      </c>
      <c r="E21" s="388">
        <f>VLOOKUP(B21,'Daten Düngemittel'!$B$5:$J$51,4,FALSE)</f>
        <v>0</v>
      </c>
      <c r="F21" s="388">
        <f>VLOOKUP(B21,'Daten Düngemittel'!$B$5:$J$51,5,FALSE)</f>
        <v>0</v>
      </c>
      <c r="G21" s="539">
        <f t="shared" si="3"/>
        <v>0</v>
      </c>
      <c r="H21" s="539">
        <f>VLOOKUP(B21,'Daten Düngemittel'!$B$5:$J$51,9,FALSE)*I21/100</f>
        <v>0</v>
      </c>
      <c r="I21" s="20">
        <f t="shared" si="0"/>
        <v>0</v>
      </c>
      <c r="J21" s="20">
        <f t="shared" si="1"/>
        <v>0</v>
      </c>
      <c r="K21" s="20">
        <f t="shared" si="2"/>
        <v>0</v>
      </c>
    </row>
    <row r="22" spans="1:11" s="5" customFormat="1">
      <c r="A22" s="843"/>
      <c r="B22" s="820" t="s">
        <v>163</v>
      </c>
      <c r="C22" s="844">
        <v>0</v>
      </c>
      <c r="D22" s="388">
        <f>VLOOKUP(B22,'Daten Düngemittel'!$B$5:$J$51,3,FALSE)</f>
        <v>0</v>
      </c>
      <c r="E22" s="388">
        <f>VLOOKUP(B22,'Daten Düngemittel'!$B$5:$J$51,4,FALSE)</f>
        <v>0</v>
      </c>
      <c r="F22" s="388">
        <f>VLOOKUP(B22,'Daten Düngemittel'!$B$5:$J$51,5,FALSE)</f>
        <v>0</v>
      </c>
      <c r="G22" s="539">
        <f t="shared" si="3"/>
        <v>0</v>
      </c>
      <c r="H22" s="539">
        <f>VLOOKUP(B22,'Daten Düngemittel'!$B$5:$J$51,9,FALSE)*I22/100</f>
        <v>0</v>
      </c>
      <c r="I22" s="20">
        <f t="shared" si="0"/>
        <v>0</v>
      </c>
      <c r="J22" s="20">
        <f t="shared" si="1"/>
        <v>0</v>
      </c>
      <c r="K22" s="20">
        <f t="shared" si="2"/>
        <v>0</v>
      </c>
    </row>
    <row r="23" spans="1:11" s="5" customFormat="1">
      <c r="A23" s="843"/>
      <c r="B23" s="820" t="s">
        <v>163</v>
      </c>
      <c r="C23" s="844">
        <v>0</v>
      </c>
      <c r="D23" s="388">
        <f>VLOOKUP(B23,'Daten Düngemittel'!$B$5:$J$51,3,FALSE)</f>
        <v>0</v>
      </c>
      <c r="E23" s="388">
        <f>VLOOKUP(B23,'Daten Düngemittel'!$B$5:$J$51,4,FALSE)</f>
        <v>0</v>
      </c>
      <c r="F23" s="388">
        <f>VLOOKUP(B23,'Daten Düngemittel'!$B$5:$J$51,5,FALSE)</f>
        <v>0</v>
      </c>
      <c r="G23" s="539">
        <f t="shared" si="3"/>
        <v>0</v>
      </c>
      <c r="H23" s="539">
        <f>VLOOKUP(B23,'Daten Düngemittel'!$B$5:$J$51,9,FALSE)*I23/100</f>
        <v>0</v>
      </c>
      <c r="I23" s="20">
        <f t="shared" si="0"/>
        <v>0</v>
      </c>
      <c r="J23" s="20">
        <f t="shared" si="1"/>
        <v>0</v>
      </c>
      <c r="K23" s="20">
        <f t="shared" si="2"/>
        <v>0</v>
      </c>
    </row>
    <row r="24" spans="1:11" s="5" customFormat="1">
      <c r="A24" s="843"/>
      <c r="B24" s="820" t="s">
        <v>163</v>
      </c>
      <c r="C24" s="844">
        <v>0</v>
      </c>
      <c r="D24" s="388">
        <f>VLOOKUP(B24,'Daten Düngemittel'!$B$5:$J$51,3,FALSE)</f>
        <v>0</v>
      </c>
      <c r="E24" s="388">
        <f>VLOOKUP(B24,'Daten Düngemittel'!$B$5:$J$51,4,FALSE)</f>
        <v>0</v>
      </c>
      <c r="F24" s="388">
        <f>VLOOKUP(B24,'Daten Düngemittel'!$B$5:$J$51,5,FALSE)</f>
        <v>0</v>
      </c>
      <c r="G24" s="539">
        <f t="shared" si="3"/>
        <v>0</v>
      </c>
      <c r="H24" s="539">
        <f>VLOOKUP(B24,'Daten Düngemittel'!$B$5:$J$51,9,FALSE)*I24/100</f>
        <v>0</v>
      </c>
      <c r="I24" s="20">
        <f t="shared" si="0"/>
        <v>0</v>
      </c>
      <c r="J24" s="20">
        <f t="shared" si="1"/>
        <v>0</v>
      </c>
      <c r="K24" s="20">
        <f t="shared" si="2"/>
        <v>0</v>
      </c>
    </row>
    <row r="25" spans="1:11" s="5" customFormat="1">
      <c r="A25" s="843"/>
      <c r="B25" s="820" t="s">
        <v>163</v>
      </c>
      <c r="C25" s="844">
        <v>0</v>
      </c>
      <c r="D25" s="388">
        <f>VLOOKUP(B25,'Daten Düngemittel'!$B$5:$J$51,3,FALSE)</f>
        <v>0</v>
      </c>
      <c r="E25" s="388">
        <f>VLOOKUP(B25,'Daten Düngemittel'!$B$5:$J$51,4,FALSE)</f>
        <v>0</v>
      </c>
      <c r="F25" s="388">
        <f>VLOOKUP(B25,'Daten Düngemittel'!$B$5:$J$51,5,FALSE)</f>
        <v>0</v>
      </c>
      <c r="G25" s="539">
        <f t="shared" si="3"/>
        <v>0</v>
      </c>
      <c r="H25" s="539">
        <f>VLOOKUP(B25,'Daten Düngemittel'!$B$5:$J$51,9,FALSE)*I25/100</f>
        <v>0</v>
      </c>
      <c r="I25" s="20">
        <f t="shared" si="0"/>
        <v>0</v>
      </c>
      <c r="J25" s="20">
        <f t="shared" si="1"/>
        <v>0</v>
      </c>
      <c r="K25" s="20">
        <f t="shared" si="2"/>
        <v>0</v>
      </c>
    </row>
    <row r="26" spans="1:11" s="5" customFormat="1">
      <c r="A26" s="843"/>
      <c r="B26" s="820" t="s">
        <v>163</v>
      </c>
      <c r="C26" s="844">
        <v>0</v>
      </c>
      <c r="D26" s="388">
        <f>VLOOKUP(B26,'Daten Düngemittel'!$B$5:$J$51,3,FALSE)</f>
        <v>0</v>
      </c>
      <c r="E26" s="388">
        <f>VLOOKUP(B26,'Daten Düngemittel'!$B$5:$J$51,4,FALSE)</f>
        <v>0</v>
      </c>
      <c r="F26" s="388">
        <f>VLOOKUP(B26,'Daten Düngemittel'!$B$5:$J$51,5,FALSE)</f>
        <v>0</v>
      </c>
      <c r="G26" s="539">
        <f t="shared" si="3"/>
        <v>0</v>
      </c>
      <c r="H26" s="539">
        <f>VLOOKUP(B26,'Daten Düngemittel'!$B$5:$J$51,9,FALSE)*I26/100</f>
        <v>0</v>
      </c>
      <c r="I26" s="20">
        <f t="shared" si="0"/>
        <v>0</v>
      </c>
      <c r="J26" s="20">
        <f t="shared" si="1"/>
        <v>0</v>
      </c>
      <c r="K26" s="20">
        <f t="shared" si="2"/>
        <v>0</v>
      </c>
    </row>
    <row r="27" spans="1:11" s="723" customFormat="1" ht="17.25" customHeight="1">
      <c r="F27" s="769" t="s">
        <v>38</v>
      </c>
      <c r="G27" s="770">
        <f>SUM(G7:G26)</f>
        <v>0</v>
      </c>
      <c r="H27" s="770">
        <f>SUM(H7:H26)</f>
        <v>0</v>
      </c>
      <c r="I27" s="770">
        <f>SUM(I7:I26)</f>
        <v>0</v>
      </c>
      <c r="J27" s="770">
        <f>SUM(J7:J26)</f>
        <v>0</v>
      </c>
      <c r="K27" s="770">
        <f>SUM(K7:K26)</f>
        <v>0</v>
      </c>
    </row>
    <row r="28" spans="1:11" s="415" customFormat="1" ht="18.75" customHeight="1">
      <c r="D28" s="1326"/>
      <c r="E28" s="1326"/>
      <c r="F28" s="1326"/>
      <c r="G28" s="416"/>
      <c r="H28" s="1327"/>
      <c r="I28" s="1327"/>
      <c r="J28" s="1327"/>
      <c r="K28" s="1327"/>
    </row>
    <row r="29" spans="1:11" s="5" customFormat="1" ht="33" customHeight="1">
      <c r="A29" s="415"/>
      <c r="B29" s="422"/>
      <c r="C29" s="422"/>
      <c r="D29" s="1323" t="s">
        <v>132</v>
      </c>
      <c r="E29" s="1324"/>
      <c r="F29" s="1325"/>
      <c r="G29" s="406" t="s">
        <v>78</v>
      </c>
      <c r="H29" s="1328" t="s">
        <v>444</v>
      </c>
      <c r="I29" s="1329"/>
      <c r="J29" s="1329"/>
      <c r="K29" s="1330"/>
    </row>
    <row r="30" spans="1:11" s="5" customFormat="1" ht="45" customHeight="1">
      <c r="A30" s="419" t="s">
        <v>351</v>
      </c>
      <c r="B30" s="418" t="s">
        <v>429</v>
      </c>
      <c r="C30" s="419" t="s">
        <v>133</v>
      </c>
      <c r="D30" s="367" t="s">
        <v>16</v>
      </c>
      <c r="E30" s="330" t="s">
        <v>113</v>
      </c>
      <c r="F30" s="330" t="s">
        <v>114</v>
      </c>
      <c r="G30" s="16" t="s">
        <v>105</v>
      </c>
      <c r="H30" s="404" t="s">
        <v>404</v>
      </c>
      <c r="I30" s="330" t="s">
        <v>16</v>
      </c>
      <c r="J30" s="330" t="s">
        <v>113</v>
      </c>
      <c r="K30" s="330" t="s">
        <v>114</v>
      </c>
    </row>
    <row r="31" spans="1:11" s="5" customFormat="1">
      <c r="A31" s="843"/>
      <c r="B31" s="820" t="s">
        <v>163</v>
      </c>
      <c r="C31" s="844">
        <v>0</v>
      </c>
      <c r="D31" s="388">
        <f>VLOOKUP($B$31,'Daten Düngemittel'!$B$54:$J$60,3,FALSE)</f>
        <v>0</v>
      </c>
      <c r="E31" s="388">
        <f>VLOOKUP(B31,'Daten Düngemittel'!$B$54:$J$60,4,FALSE)</f>
        <v>0</v>
      </c>
      <c r="F31" s="388">
        <f>VLOOKUP(B31,'Daten Düngemittel'!$B$54:$J$60,5,FALSE)</f>
        <v>0</v>
      </c>
      <c r="G31" s="539">
        <f>C31*(D31)</f>
        <v>0</v>
      </c>
      <c r="H31" s="540">
        <f>VLOOKUP(B31,'Daten Düngemittel'!$B$54:$J$60,9,FALSE)*I31/100</f>
        <v>0</v>
      </c>
      <c r="I31" s="20">
        <f>C31*D31</f>
        <v>0</v>
      </c>
      <c r="J31" s="20">
        <f>C31*E31</f>
        <v>0</v>
      </c>
      <c r="K31" s="20">
        <f>C31*F31</f>
        <v>0</v>
      </c>
    </row>
    <row r="32" spans="1:11" s="5" customFormat="1">
      <c r="A32" s="843"/>
      <c r="B32" s="820" t="s">
        <v>163</v>
      </c>
      <c r="C32" s="844">
        <v>0</v>
      </c>
      <c r="D32" s="388">
        <f>VLOOKUP(B32,'Daten Düngemittel'!$B$54:$J$60,3,FALSE)</f>
        <v>0</v>
      </c>
      <c r="E32" s="388">
        <f>VLOOKUP(B32,'Daten Düngemittel'!$B$54:$J$60,4,FALSE)</f>
        <v>0</v>
      </c>
      <c r="F32" s="388">
        <f>VLOOKUP(B32,'Daten Düngemittel'!$B$54:$J$60,5,FALSE)</f>
        <v>0</v>
      </c>
      <c r="G32" s="539">
        <f>C32*(D32)</f>
        <v>0</v>
      </c>
      <c r="H32" s="540">
        <f>VLOOKUP(B32,'Daten Düngemittel'!$B$54:$J$60,9,FALSE)*I32/100</f>
        <v>0</v>
      </c>
      <c r="I32" s="20">
        <f>C32*D32</f>
        <v>0</v>
      </c>
      <c r="J32" s="20">
        <f>C32*E32</f>
        <v>0</v>
      </c>
      <c r="K32" s="20">
        <f>C32*F32</f>
        <v>0</v>
      </c>
    </row>
    <row r="33" spans="1:11" s="5" customFormat="1">
      <c r="A33" s="843"/>
      <c r="B33" s="820" t="s">
        <v>163</v>
      </c>
      <c r="C33" s="844">
        <v>0</v>
      </c>
      <c r="D33" s="388">
        <f>VLOOKUP(B33,'Daten Düngemittel'!$B$54:$J$60,3,FALSE)</f>
        <v>0</v>
      </c>
      <c r="E33" s="388">
        <f>VLOOKUP(B33,'Daten Düngemittel'!$B$54:$J$60,4,FALSE)</f>
        <v>0</v>
      </c>
      <c r="F33" s="388">
        <f>VLOOKUP(B33,'Daten Düngemittel'!$B$54:$J$60,5,FALSE)</f>
        <v>0</v>
      </c>
      <c r="G33" s="539">
        <f>C33*(D33)</f>
        <v>0</v>
      </c>
      <c r="H33" s="540">
        <f>VLOOKUP(B33,'Daten Düngemittel'!$B$54:$J$60,9,FALSE)*I33/100</f>
        <v>0</v>
      </c>
      <c r="I33" s="20">
        <f>C33*D33</f>
        <v>0</v>
      </c>
      <c r="J33" s="20">
        <f>C33*E33</f>
        <v>0</v>
      </c>
      <c r="K33" s="20">
        <f>C33*F33</f>
        <v>0</v>
      </c>
    </row>
    <row r="34" spans="1:11" s="135" customFormat="1">
      <c r="A34" s="843"/>
      <c r="B34" s="820" t="s">
        <v>163</v>
      </c>
      <c r="C34" s="844">
        <v>0</v>
      </c>
      <c r="D34" s="388">
        <f>VLOOKUP(B34,'Daten Düngemittel'!$B$54:$J$60,3,FALSE)</f>
        <v>0</v>
      </c>
      <c r="E34" s="388">
        <f>VLOOKUP(B34,'Daten Düngemittel'!$B$54:$J$60,4,FALSE)</f>
        <v>0</v>
      </c>
      <c r="F34" s="388">
        <f>VLOOKUP(B34,'Daten Düngemittel'!$B$54:$J$60,5,FALSE)</f>
        <v>0</v>
      </c>
      <c r="G34" s="539">
        <f>C34*(D34)</f>
        <v>0</v>
      </c>
      <c r="H34" s="540">
        <f>VLOOKUP(B34,'Daten Düngemittel'!$B$54:$J$60,9,FALSE)*I34/100</f>
        <v>0</v>
      </c>
      <c r="I34" s="20">
        <f>C34*D34</f>
        <v>0</v>
      </c>
      <c r="J34" s="20">
        <f>C34*E34</f>
        <v>0</v>
      </c>
      <c r="K34" s="20">
        <f>C34*F34</f>
        <v>0</v>
      </c>
    </row>
    <row r="35" spans="1:11" s="723" customFormat="1" ht="17.25" customHeight="1">
      <c r="F35" s="769" t="s">
        <v>38</v>
      </c>
      <c r="G35" s="770">
        <f>SUM(G31:G34)</f>
        <v>0</v>
      </c>
      <c r="H35" s="770">
        <f t="shared" ref="H35:I35" si="4">SUM(H31:H34)</f>
        <v>0</v>
      </c>
      <c r="I35" s="770">
        <f t="shared" si="4"/>
        <v>0</v>
      </c>
      <c r="J35" s="770">
        <f t="shared" ref="J35" si="5">SUM(J31:J34)</f>
        <v>0</v>
      </c>
      <c r="K35" s="770">
        <f t="shared" ref="K35" si="6">SUM(K31:K34)</f>
        <v>0</v>
      </c>
    </row>
    <row r="36" spans="1:11" s="5" customFormat="1" ht="18.75" customHeight="1">
      <c r="F36" s="285"/>
      <c r="G36" s="368"/>
    </row>
    <row r="37" spans="1:11" s="5" customFormat="1" ht="31.5" customHeight="1">
      <c r="A37" s="415"/>
      <c r="B37" s="422"/>
      <c r="C37" s="422"/>
      <c r="D37" s="1285" t="s">
        <v>132</v>
      </c>
      <c r="E37" s="1285"/>
      <c r="F37" s="1285"/>
      <c r="G37" s="330" t="s">
        <v>78</v>
      </c>
      <c r="H37" s="1328" t="s">
        <v>444</v>
      </c>
      <c r="I37" s="1329"/>
      <c r="J37" s="1329"/>
      <c r="K37" s="1330"/>
    </row>
    <row r="38" spans="1:11" s="5" customFormat="1" ht="47.25" customHeight="1">
      <c r="A38" s="419" t="s">
        <v>351</v>
      </c>
      <c r="B38" s="598" t="s">
        <v>1113</v>
      </c>
      <c r="C38" s="554" t="s">
        <v>755</v>
      </c>
      <c r="D38" s="330" t="s">
        <v>16</v>
      </c>
      <c r="E38" s="330" t="s">
        <v>113</v>
      </c>
      <c r="F38" s="330" t="s">
        <v>114</v>
      </c>
      <c r="G38" s="16" t="s">
        <v>105</v>
      </c>
      <c r="H38" s="404"/>
      <c r="I38" s="330" t="s">
        <v>16</v>
      </c>
      <c r="J38" s="330" t="s">
        <v>113</v>
      </c>
      <c r="K38" s="330" t="s">
        <v>114</v>
      </c>
    </row>
    <row r="39" spans="1:11" s="5" customFormat="1">
      <c r="A39" s="843"/>
      <c r="B39" s="820" t="s">
        <v>163</v>
      </c>
      <c r="C39" s="844">
        <v>0</v>
      </c>
      <c r="D39" s="332">
        <f>VLOOKUP(B39,'Daten Düngemittel'!$B$5:$J$51,3,FALSE)</f>
        <v>0</v>
      </c>
      <c r="E39" s="332">
        <f>VLOOKUP(B39,'Daten Düngemittel'!$B$5:$J$51,4,FALSE)</f>
        <v>0</v>
      </c>
      <c r="F39" s="332">
        <f>VLOOKUP(B39,'Daten Düngemittel'!$B$5:$J$51,5,FALSE)</f>
        <v>0</v>
      </c>
      <c r="G39" s="539">
        <f>C39*D39</f>
        <v>0</v>
      </c>
      <c r="H39" s="539"/>
      <c r="I39" s="20">
        <f t="shared" ref="I39:I61" si="7">C39*D39</f>
        <v>0</v>
      </c>
      <c r="J39" s="20">
        <f t="shared" ref="J39:J61" si="8">C39*E39</f>
        <v>0</v>
      </c>
      <c r="K39" s="20">
        <f t="shared" ref="K39:K61" si="9">C39*F39</f>
        <v>0</v>
      </c>
    </row>
    <row r="40" spans="1:11" s="5" customFormat="1">
      <c r="A40" s="843"/>
      <c r="B40" s="820" t="s">
        <v>163</v>
      </c>
      <c r="C40" s="844">
        <v>0</v>
      </c>
      <c r="D40" s="332">
        <f>VLOOKUP(B40,'Daten Düngemittel'!$B$5:$J$51,3,FALSE)</f>
        <v>0</v>
      </c>
      <c r="E40" s="332">
        <f>VLOOKUP(B40,'Daten Düngemittel'!$B$5:$J$51,4,FALSE)</f>
        <v>0</v>
      </c>
      <c r="F40" s="332">
        <f>VLOOKUP(B40,'Daten Düngemittel'!$B$5:$J$51,5,FALSE)</f>
        <v>0</v>
      </c>
      <c r="G40" s="539">
        <f t="shared" ref="G40:G61" si="10">C40*D40</f>
        <v>0</v>
      </c>
      <c r="H40" s="539"/>
      <c r="I40" s="20">
        <f t="shared" si="7"/>
        <v>0</v>
      </c>
      <c r="J40" s="20">
        <f t="shared" si="8"/>
        <v>0</v>
      </c>
      <c r="K40" s="20">
        <f t="shared" si="9"/>
        <v>0</v>
      </c>
    </row>
    <row r="41" spans="1:11" s="5" customFormat="1">
      <c r="A41" s="843"/>
      <c r="B41" s="820" t="s">
        <v>163</v>
      </c>
      <c r="C41" s="844">
        <v>0</v>
      </c>
      <c r="D41" s="332">
        <f>VLOOKUP(B41,'Daten Düngemittel'!$B$5:$J$51,3,FALSE)</f>
        <v>0</v>
      </c>
      <c r="E41" s="332">
        <f>VLOOKUP(B41,'Daten Düngemittel'!$B$5:$J$51,4,FALSE)</f>
        <v>0</v>
      </c>
      <c r="F41" s="332">
        <f>VLOOKUP(B41,'Daten Düngemittel'!$B$5:$J$51,5,FALSE)</f>
        <v>0</v>
      </c>
      <c r="G41" s="539">
        <f t="shared" si="10"/>
        <v>0</v>
      </c>
      <c r="H41" s="539"/>
      <c r="I41" s="20">
        <f t="shared" si="7"/>
        <v>0</v>
      </c>
      <c r="J41" s="20">
        <f t="shared" si="8"/>
        <v>0</v>
      </c>
      <c r="K41" s="20">
        <f t="shared" si="9"/>
        <v>0</v>
      </c>
    </row>
    <row r="42" spans="1:11" s="5" customFormat="1">
      <c r="A42" s="843"/>
      <c r="B42" s="820" t="s">
        <v>163</v>
      </c>
      <c r="C42" s="844">
        <v>0</v>
      </c>
      <c r="D42" s="332">
        <f>VLOOKUP(B42,'Daten Düngemittel'!$B$5:$J$51,3,FALSE)</f>
        <v>0</v>
      </c>
      <c r="E42" s="332">
        <f>VLOOKUP(B42,'Daten Düngemittel'!$B$5:$J$51,4,FALSE)</f>
        <v>0</v>
      </c>
      <c r="F42" s="332">
        <f>VLOOKUP(B42,'Daten Düngemittel'!$B$5:$J$51,5,FALSE)</f>
        <v>0</v>
      </c>
      <c r="G42" s="539">
        <f t="shared" si="10"/>
        <v>0</v>
      </c>
      <c r="H42" s="539"/>
      <c r="I42" s="20">
        <f t="shared" si="7"/>
        <v>0</v>
      </c>
      <c r="J42" s="20">
        <f t="shared" si="8"/>
        <v>0</v>
      </c>
      <c r="K42" s="20">
        <f t="shared" si="9"/>
        <v>0</v>
      </c>
    </row>
    <row r="43" spans="1:11" s="5" customFormat="1">
      <c r="A43" s="843"/>
      <c r="B43" s="820" t="s">
        <v>163</v>
      </c>
      <c r="C43" s="844">
        <v>0</v>
      </c>
      <c r="D43" s="332">
        <f>VLOOKUP(B43,'Daten Düngemittel'!$B$5:$J$51,3,FALSE)</f>
        <v>0</v>
      </c>
      <c r="E43" s="332">
        <f>VLOOKUP(B43,'Daten Düngemittel'!$B$5:$J$51,4,FALSE)</f>
        <v>0</v>
      </c>
      <c r="F43" s="332">
        <f>VLOOKUP(B43,'Daten Düngemittel'!$B$5:$J$51,5,FALSE)</f>
        <v>0</v>
      </c>
      <c r="G43" s="539">
        <f t="shared" si="10"/>
        <v>0</v>
      </c>
      <c r="H43" s="539"/>
      <c r="I43" s="20">
        <f t="shared" si="7"/>
        <v>0</v>
      </c>
      <c r="J43" s="20">
        <f t="shared" si="8"/>
        <v>0</v>
      </c>
      <c r="K43" s="20">
        <f t="shared" si="9"/>
        <v>0</v>
      </c>
    </row>
    <row r="44" spans="1:11" s="5" customFormat="1">
      <c r="A44" s="843"/>
      <c r="B44" s="820" t="s">
        <v>163</v>
      </c>
      <c r="C44" s="844">
        <v>0</v>
      </c>
      <c r="D44" s="332">
        <f>VLOOKUP(B44,'Daten Düngemittel'!$B$5:$J$51,3,FALSE)</f>
        <v>0</v>
      </c>
      <c r="E44" s="332">
        <f>VLOOKUP(B44,'Daten Düngemittel'!$B$5:$J$51,4,FALSE)</f>
        <v>0</v>
      </c>
      <c r="F44" s="332">
        <f>VLOOKUP(B44,'Daten Düngemittel'!$B$5:$J$51,5,FALSE)</f>
        <v>0</v>
      </c>
      <c r="G44" s="539">
        <f t="shared" si="10"/>
        <v>0</v>
      </c>
      <c r="H44" s="539"/>
      <c r="I44" s="20">
        <f t="shared" si="7"/>
        <v>0</v>
      </c>
      <c r="J44" s="20">
        <f t="shared" si="8"/>
        <v>0</v>
      </c>
      <c r="K44" s="20">
        <f t="shared" si="9"/>
        <v>0</v>
      </c>
    </row>
    <row r="45" spans="1:11" s="5" customFormat="1">
      <c r="A45" s="843"/>
      <c r="B45" s="820" t="s">
        <v>163</v>
      </c>
      <c r="C45" s="844">
        <v>0</v>
      </c>
      <c r="D45" s="332">
        <f>VLOOKUP(B45,'Daten Düngemittel'!$B$5:$J$51,3,FALSE)</f>
        <v>0</v>
      </c>
      <c r="E45" s="332">
        <f>VLOOKUP(B45,'Daten Düngemittel'!$B$5:$J$51,4,FALSE)</f>
        <v>0</v>
      </c>
      <c r="F45" s="332">
        <f>VLOOKUP(B45,'Daten Düngemittel'!$B$5:$J$51,5,FALSE)</f>
        <v>0</v>
      </c>
      <c r="G45" s="539">
        <f t="shared" si="10"/>
        <v>0</v>
      </c>
      <c r="H45" s="539"/>
      <c r="I45" s="20">
        <f t="shared" si="7"/>
        <v>0</v>
      </c>
      <c r="J45" s="20">
        <f t="shared" si="8"/>
        <v>0</v>
      </c>
      <c r="K45" s="20">
        <f t="shared" si="9"/>
        <v>0</v>
      </c>
    </row>
    <row r="46" spans="1:11" s="5" customFormat="1">
      <c r="A46" s="843"/>
      <c r="B46" s="820" t="s">
        <v>163</v>
      </c>
      <c r="C46" s="844">
        <v>0</v>
      </c>
      <c r="D46" s="332">
        <f>VLOOKUP(B46,'Daten Düngemittel'!$B$5:$J$51,3,FALSE)</f>
        <v>0</v>
      </c>
      <c r="E46" s="332">
        <f>VLOOKUP(B46,'Daten Düngemittel'!$B$5:$J$51,4,FALSE)</f>
        <v>0</v>
      </c>
      <c r="F46" s="332">
        <f>VLOOKUP(B46,'Daten Düngemittel'!$B$5:$J$51,5,FALSE)</f>
        <v>0</v>
      </c>
      <c r="G46" s="539">
        <f t="shared" si="10"/>
        <v>0</v>
      </c>
      <c r="H46" s="539"/>
      <c r="I46" s="20">
        <f t="shared" si="7"/>
        <v>0</v>
      </c>
      <c r="J46" s="20">
        <f t="shared" si="8"/>
        <v>0</v>
      </c>
      <c r="K46" s="20">
        <f t="shared" si="9"/>
        <v>0</v>
      </c>
    </row>
    <row r="47" spans="1:11" s="5" customFormat="1">
      <c r="A47" s="843"/>
      <c r="B47" s="820" t="s">
        <v>163</v>
      </c>
      <c r="C47" s="844">
        <v>0</v>
      </c>
      <c r="D47" s="332">
        <f>VLOOKUP(B47,'Daten Düngemittel'!$B$5:$J$51,3,FALSE)</f>
        <v>0</v>
      </c>
      <c r="E47" s="332">
        <f>VLOOKUP(B47,'Daten Düngemittel'!$B$5:$J$51,4,FALSE)</f>
        <v>0</v>
      </c>
      <c r="F47" s="332">
        <f>VLOOKUP(B47,'Daten Düngemittel'!$B$5:$J$51,5,FALSE)</f>
        <v>0</v>
      </c>
      <c r="G47" s="539">
        <f t="shared" si="10"/>
        <v>0</v>
      </c>
      <c r="H47" s="539"/>
      <c r="I47" s="20">
        <f t="shared" si="7"/>
        <v>0</v>
      </c>
      <c r="J47" s="20">
        <f t="shared" si="8"/>
        <v>0</v>
      </c>
      <c r="K47" s="20">
        <f t="shared" si="9"/>
        <v>0</v>
      </c>
    </row>
    <row r="48" spans="1:11" s="5" customFormat="1">
      <c r="A48" s="843"/>
      <c r="B48" s="820" t="s">
        <v>163</v>
      </c>
      <c r="C48" s="844">
        <v>0</v>
      </c>
      <c r="D48" s="332">
        <f>VLOOKUP(B48,'Daten Düngemittel'!$B$5:$J$51,3,FALSE)</f>
        <v>0</v>
      </c>
      <c r="E48" s="332">
        <f>VLOOKUP(B48,'Daten Düngemittel'!$B$5:$J$51,4,FALSE)</f>
        <v>0</v>
      </c>
      <c r="F48" s="332">
        <f>VLOOKUP(B48,'Daten Düngemittel'!$B$5:$J$51,5,FALSE)</f>
        <v>0</v>
      </c>
      <c r="G48" s="539">
        <f t="shared" si="10"/>
        <v>0</v>
      </c>
      <c r="H48" s="539"/>
      <c r="I48" s="20">
        <f t="shared" si="7"/>
        <v>0</v>
      </c>
      <c r="J48" s="20">
        <f t="shared" si="8"/>
        <v>0</v>
      </c>
      <c r="K48" s="20">
        <f t="shared" si="9"/>
        <v>0</v>
      </c>
    </row>
    <row r="49" spans="1:11" s="5" customFormat="1">
      <c r="A49" s="843"/>
      <c r="B49" s="820" t="s">
        <v>163</v>
      </c>
      <c r="C49" s="844">
        <v>0</v>
      </c>
      <c r="D49" s="332">
        <f>VLOOKUP(B49,'Daten Düngemittel'!$B$5:$J$51,3,FALSE)</f>
        <v>0</v>
      </c>
      <c r="E49" s="332">
        <f>VLOOKUP(B49,'Daten Düngemittel'!$B$5:$J$51,4,FALSE)</f>
        <v>0</v>
      </c>
      <c r="F49" s="332">
        <f>VLOOKUP(B49,'Daten Düngemittel'!$B$5:$J$51,5,FALSE)</f>
        <v>0</v>
      </c>
      <c r="G49" s="539">
        <f t="shared" si="10"/>
        <v>0</v>
      </c>
      <c r="H49" s="539"/>
      <c r="I49" s="20">
        <f t="shared" si="7"/>
        <v>0</v>
      </c>
      <c r="J49" s="20">
        <f t="shared" si="8"/>
        <v>0</v>
      </c>
      <c r="K49" s="20">
        <f t="shared" si="9"/>
        <v>0</v>
      </c>
    </row>
    <row r="50" spans="1:11" s="5" customFormat="1">
      <c r="A50" s="843"/>
      <c r="B50" s="820" t="s">
        <v>163</v>
      </c>
      <c r="C50" s="844">
        <v>0</v>
      </c>
      <c r="D50" s="332">
        <f>VLOOKUP(B50,'Daten Düngemittel'!$B$5:$J$51,3,FALSE)</f>
        <v>0</v>
      </c>
      <c r="E50" s="332">
        <f>VLOOKUP(B50,'Daten Düngemittel'!$B$5:$J$51,4,FALSE)</f>
        <v>0</v>
      </c>
      <c r="F50" s="332">
        <f>VLOOKUP(B50,'Daten Düngemittel'!$B$5:$J$51,5,FALSE)</f>
        <v>0</v>
      </c>
      <c r="G50" s="539">
        <f t="shared" si="10"/>
        <v>0</v>
      </c>
      <c r="H50" s="539"/>
      <c r="I50" s="20">
        <f t="shared" si="7"/>
        <v>0</v>
      </c>
      <c r="J50" s="20">
        <f t="shared" si="8"/>
        <v>0</v>
      </c>
      <c r="K50" s="20">
        <f t="shared" si="9"/>
        <v>0</v>
      </c>
    </row>
    <row r="51" spans="1:11" s="5" customFormat="1">
      <c r="A51" s="843"/>
      <c r="B51" s="820" t="s">
        <v>163</v>
      </c>
      <c r="C51" s="844">
        <v>0</v>
      </c>
      <c r="D51" s="332">
        <f>VLOOKUP(B51,'Daten Düngemittel'!$B$5:$J$51,3,FALSE)</f>
        <v>0</v>
      </c>
      <c r="E51" s="332">
        <f>VLOOKUP(B51,'Daten Düngemittel'!$B$5:$J$51,4,FALSE)</f>
        <v>0</v>
      </c>
      <c r="F51" s="332">
        <f>VLOOKUP(B51,'Daten Düngemittel'!$B$5:$J$51,5,FALSE)</f>
        <v>0</v>
      </c>
      <c r="G51" s="539">
        <f t="shared" si="10"/>
        <v>0</v>
      </c>
      <c r="H51" s="539"/>
      <c r="I51" s="20">
        <f t="shared" si="7"/>
        <v>0</v>
      </c>
      <c r="J51" s="20">
        <f t="shared" si="8"/>
        <v>0</v>
      </c>
      <c r="K51" s="20">
        <f t="shared" si="9"/>
        <v>0</v>
      </c>
    </row>
    <row r="52" spans="1:11" s="5" customFormat="1">
      <c r="A52" s="843"/>
      <c r="B52" s="820" t="s">
        <v>163</v>
      </c>
      <c r="C52" s="844">
        <v>0</v>
      </c>
      <c r="D52" s="332">
        <f>VLOOKUP(B52,'Daten Düngemittel'!$B$5:$J$51,3,FALSE)</f>
        <v>0</v>
      </c>
      <c r="E52" s="332">
        <f>VLOOKUP(B52,'Daten Düngemittel'!$B$5:$J$51,4,FALSE)</f>
        <v>0</v>
      </c>
      <c r="F52" s="332">
        <f>VLOOKUP(B52,'Daten Düngemittel'!$B$5:$J$51,5,FALSE)</f>
        <v>0</v>
      </c>
      <c r="G52" s="539">
        <f t="shared" si="10"/>
        <v>0</v>
      </c>
      <c r="H52" s="539"/>
      <c r="I52" s="20">
        <f t="shared" si="7"/>
        <v>0</v>
      </c>
      <c r="J52" s="20">
        <f t="shared" si="8"/>
        <v>0</v>
      </c>
      <c r="K52" s="20">
        <f t="shared" si="9"/>
        <v>0</v>
      </c>
    </row>
    <row r="53" spans="1:11" s="5" customFormat="1">
      <c r="A53" s="843"/>
      <c r="B53" s="820" t="s">
        <v>163</v>
      </c>
      <c r="C53" s="844">
        <v>0</v>
      </c>
      <c r="D53" s="332">
        <f>VLOOKUP(B53,'Daten Düngemittel'!$B$5:$J$51,3,FALSE)</f>
        <v>0</v>
      </c>
      <c r="E53" s="332">
        <f>VLOOKUP(B53,'Daten Düngemittel'!$B$5:$J$51,4,FALSE)</f>
        <v>0</v>
      </c>
      <c r="F53" s="332">
        <f>VLOOKUP(B53,'Daten Düngemittel'!$B$5:$J$51,5,FALSE)</f>
        <v>0</v>
      </c>
      <c r="G53" s="539">
        <f t="shared" si="10"/>
        <v>0</v>
      </c>
      <c r="H53" s="539"/>
      <c r="I53" s="20">
        <f t="shared" si="7"/>
        <v>0</v>
      </c>
      <c r="J53" s="20">
        <f t="shared" si="8"/>
        <v>0</v>
      </c>
      <c r="K53" s="20">
        <f t="shared" si="9"/>
        <v>0</v>
      </c>
    </row>
    <row r="54" spans="1:11" s="5" customFormat="1">
      <c r="A54" s="843"/>
      <c r="B54" s="820" t="s">
        <v>163</v>
      </c>
      <c r="C54" s="844">
        <v>0</v>
      </c>
      <c r="D54" s="332">
        <f>VLOOKUP(B54,'Daten Düngemittel'!$B$5:$J$51,3,FALSE)</f>
        <v>0</v>
      </c>
      <c r="E54" s="332">
        <f>VLOOKUP(B54,'Daten Düngemittel'!$B$5:$J$51,4,FALSE)</f>
        <v>0</v>
      </c>
      <c r="F54" s="332">
        <f>VLOOKUP(B54,'Daten Düngemittel'!$B$5:$J$51,5,FALSE)</f>
        <v>0</v>
      </c>
      <c r="G54" s="539">
        <f t="shared" si="10"/>
        <v>0</v>
      </c>
      <c r="H54" s="539"/>
      <c r="I54" s="20">
        <f t="shared" si="7"/>
        <v>0</v>
      </c>
      <c r="J54" s="20">
        <f t="shared" si="8"/>
        <v>0</v>
      </c>
      <c r="K54" s="20">
        <f t="shared" si="9"/>
        <v>0</v>
      </c>
    </row>
    <row r="55" spans="1:11" s="5" customFormat="1">
      <c r="A55" s="843"/>
      <c r="B55" s="820" t="s">
        <v>163</v>
      </c>
      <c r="C55" s="844">
        <v>0</v>
      </c>
      <c r="D55" s="332">
        <f>VLOOKUP(B55,'Daten Düngemittel'!$B$5:$J$51,3,FALSE)</f>
        <v>0</v>
      </c>
      <c r="E55" s="332">
        <f>VLOOKUP(B55,'Daten Düngemittel'!$B$5:$J$51,4,FALSE)</f>
        <v>0</v>
      </c>
      <c r="F55" s="332">
        <f>VLOOKUP(B55,'Daten Düngemittel'!$B$5:$J$51,5,FALSE)</f>
        <v>0</v>
      </c>
      <c r="G55" s="539">
        <f t="shared" si="10"/>
        <v>0</v>
      </c>
      <c r="H55" s="539"/>
      <c r="I55" s="20">
        <f t="shared" si="7"/>
        <v>0</v>
      </c>
      <c r="J55" s="20">
        <f t="shared" si="8"/>
        <v>0</v>
      </c>
      <c r="K55" s="20">
        <f t="shared" si="9"/>
        <v>0</v>
      </c>
    </row>
    <row r="56" spans="1:11" s="5" customFormat="1">
      <c r="A56" s="843"/>
      <c r="B56" s="820" t="s">
        <v>163</v>
      </c>
      <c r="C56" s="844">
        <v>0</v>
      </c>
      <c r="D56" s="332">
        <f>VLOOKUP(B56,'Daten Düngemittel'!$B$5:$J$51,3,FALSE)</f>
        <v>0</v>
      </c>
      <c r="E56" s="332">
        <f>VLOOKUP(B56,'Daten Düngemittel'!$B$5:$J$51,4,FALSE)</f>
        <v>0</v>
      </c>
      <c r="F56" s="332">
        <f>VLOOKUP(B56,'Daten Düngemittel'!$B$5:$J$51,5,FALSE)</f>
        <v>0</v>
      </c>
      <c r="G56" s="539">
        <f t="shared" si="10"/>
        <v>0</v>
      </c>
      <c r="H56" s="539"/>
      <c r="I56" s="20">
        <f t="shared" si="7"/>
        <v>0</v>
      </c>
      <c r="J56" s="20">
        <f t="shared" si="8"/>
        <v>0</v>
      </c>
      <c r="K56" s="20">
        <f t="shared" si="9"/>
        <v>0</v>
      </c>
    </row>
    <row r="57" spans="1:11" s="5" customFormat="1">
      <c r="A57" s="843"/>
      <c r="B57" s="820" t="s">
        <v>163</v>
      </c>
      <c r="C57" s="844">
        <v>0</v>
      </c>
      <c r="D57" s="332">
        <f>VLOOKUP(B57,'Daten Düngemittel'!$B$5:$J$51,3,FALSE)</f>
        <v>0</v>
      </c>
      <c r="E57" s="332">
        <f>VLOOKUP(B57,'Daten Düngemittel'!$B$5:$J$51,4,FALSE)</f>
        <v>0</v>
      </c>
      <c r="F57" s="332">
        <f>VLOOKUP(B57,'Daten Düngemittel'!$B$5:$J$51,5,FALSE)</f>
        <v>0</v>
      </c>
      <c r="G57" s="539">
        <f t="shared" si="10"/>
        <v>0</v>
      </c>
      <c r="H57" s="539"/>
      <c r="I57" s="20">
        <f t="shared" si="7"/>
        <v>0</v>
      </c>
      <c r="J57" s="20">
        <f t="shared" si="8"/>
        <v>0</v>
      </c>
      <c r="K57" s="20">
        <f t="shared" si="9"/>
        <v>0</v>
      </c>
    </row>
    <row r="58" spans="1:11" s="5" customFormat="1">
      <c r="A58" s="843"/>
      <c r="B58" s="820" t="s">
        <v>163</v>
      </c>
      <c r="C58" s="844">
        <v>0</v>
      </c>
      <c r="D58" s="332">
        <f>VLOOKUP(B58,'Daten Düngemittel'!$B$5:$J$51,3,FALSE)</f>
        <v>0</v>
      </c>
      <c r="E58" s="332">
        <f>VLOOKUP(B58,'Daten Düngemittel'!$B$5:$J$51,4,FALSE)</f>
        <v>0</v>
      </c>
      <c r="F58" s="332">
        <f>VLOOKUP(B58,'Daten Düngemittel'!$B$5:$J$51,5,FALSE)</f>
        <v>0</v>
      </c>
      <c r="G58" s="539">
        <f t="shared" si="10"/>
        <v>0</v>
      </c>
      <c r="H58" s="539"/>
      <c r="I58" s="20">
        <f t="shared" si="7"/>
        <v>0</v>
      </c>
      <c r="J58" s="20">
        <f t="shared" si="8"/>
        <v>0</v>
      </c>
      <c r="K58" s="20">
        <f t="shared" si="9"/>
        <v>0</v>
      </c>
    </row>
    <row r="59" spans="1:11" s="5" customFormat="1">
      <c r="A59" s="843"/>
      <c r="B59" s="820" t="s">
        <v>163</v>
      </c>
      <c r="C59" s="844">
        <v>0</v>
      </c>
      <c r="D59" s="332">
        <f>VLOOKUP(B59,'Daten Düngemittel'!$B$5:$J$51,3,FALSE)</f>
        <v>0</v>
      </c>
      <c r="E59" s="332">
        <f>VLOOKUP(B59,'Daten Düngemittel'!$B$5:$J$51,4,FALSE)</f>
        <v>0</v>
      </c>
      <c r="F59" s="332">
        <f>VLOOKUP(B59,'Daten Düngemittel'!$B$5:$J$51,5,FALSE)</f>
        <v>0</v>
      </c>
      <c r="G59" s="539">
        <f t="shared" si="10"/>
        <v>0</v>
      </c>
      <c r="H59" s="539"/>
      <c r="I59" s="20">
        <f t="shared" si="7"/>
        <v>0</v>
      </c>
      <c r="J59" s="20">
        <f t="shared" si="8"/>
        <v>0</v>
      </c>
      <c r="K59" s="20">
        <f t="shared" si="9"/>
        <v>0</v>
      </c>
    </row>
    <row r="60" spans="1:11" s="5" customFormat="1">
      <c r="A60" s="843"/>
      <c r="B60" s="820" t="s">
        <v>163</v>
      </c>
      <c r="C60" s="844">
        <v>0</v>
      </c>
      <c r="D60" s="332">
        <f>VLOOKUP(B60,'Daten Düngemittel'!$B$5:$J$51,3,FALSE)</f>
        <v>0</v>
      </c>
      <c r="E60" s="332">
        <f>VLOOKUP(B60,'Daten Düngemittel'!$B$5:$J$51,4,FALSE)</f>
        <v>0</v>
      </c>
      <c r="F60" s="332">
        <f>VLOOKUP(B60,'Daten Düngemittel'!$B$5:$J$51,5,FALSE)</f>
        <v>0</v>
      </c>
      <c r="G60" s="539">
        <f t="shared" si="10"/>
        <v>0</v>
      </c>
      <c r="H60" s="539"/>
      <c r="I60" s="20">
        <f t="shared" si="7"/>
        <v>0</v>
      </c>
      <c r="J60" s="20">
        <f t="shared" si="8"/>
        <v>0</v>
      </c>
      <c r="K60" s="20">
        <f t="shared" si="9"/>
        <v>0</v>
      </c>
    </row>
    <row r="61" spans="1:11" s="135" customFormat="1">
      <c r="A61" s="843"/>
      <c r="B61" s="820" t="s">
        <v>163</v>
      </c>
      <c r="C61" s="844">
        <v>0</v>
      </c>
      <c r="D61" s="332">
        <f>VLOOKUP(B61,'Daten Düngemittel'!$B$5:$J$51,3,FALSE)</f>
        <v>0</v>
      </c>
      <c r="E61" s="332">
        <f>VLOOKUP(B61,'Daten Düngemittel'!$B$5:$J$51,4,FALSE)</f>
        <v>0</v>
      </c>
      <c r="F61" s="332">
        <f>VLOOKUP(B61,'Daten Düngemittel'!$B$5:$J$51,5,FALSE)</f>
        <v>0</v>
      </c>
      <c r="G61" s="539">
        <f t="shared" si="10"/>
        <v>0</v>
      </c>
      <c r="H61" s="539"/>
      <c r="I61" s="20">
        <f t="shared" si="7"/>
        <v>0</v>
      </c>
      <c r="J61" s="20">
        <f t="shared" si="8"/>
        <v>0</v>
      </c>
      <c r="K61" s="20">
        <f t="shared" si="9"/>
        <v>0</v>
      </c>
    </row>
    <row r="62" spans="1:11" s="723" customFormat="1" ht="17.25" customHeight="1">
      <c r="F62" s="769" t="s">
        <v>38</v>
      </c>
      <c r="G62" s="770">
        <f>SUM(G39:G61)</f>
        <v>0</v>
      </c>
      <c r="H62" s="770"/>
      <c r="I62" s="770">
        <f>SUM(I39:I61)</f>
        <v>0</v>
      </c>
      <c r="J62" s="770">
        <f t="shared" ref="J62:K62" si="11">SUM(J39:J61)</f>
        <v>0</v>
      </c>
      <c r="K62" s="770">
        <f t="shared" si="11"/>
        <v>0</v>
      </c>
    </row>
    <row r="63" spans="1:11" s="5" customFormat="1"/>
    <row r="64" spans="1:11" s="5" customFormat="1"/>
    <row r="65" s="5" customFormat="1"/>
    <row r="66" s="5" customFormat="1"/>
    <row r="67" s="5" customFormat="1"/>
    <row r="68" s="5" customFormat="1"/>
    <row r="69" s="5" customFormat="1"/>
    <row r="70" s="5" customFormat="1"/>
    <row r="73" ht="15" customHeight="1"/>
    <row r="74" ht="15.75" customHeight="1"/>
    <row r="76" ht="15.75" customHeight="1"/>
  </sheetData>
  <sheetProtection sheet="1" objects="1" scenarios="1" formatColumns="0" formatRows="0" selectLockedCells="1"/>
  <mergeCells count="11">
    <mergeCell ref="H1:O4"/>
    <mergeCell ref="B1:F2"/>
    <mergeCell ref="B3:F3"/>
    <mergeCell ref="D37:F37"/>
    <mergeCell ref="D29:F29"/>
    <mergeCell ref="D28:F28"/>
    <mergeCell ref="H28:K28"/>
    <mergeCell ref="H37:K37"/>
    <mergeCell ref="H29:K29"/>
    <mergeCell ref="H5:K5"/>
    <mergeCell ref="D5:F5"/>
  </mergeCells>
  <dataValidations count="3">
    <dataValidation type="list" allowBlank="1" showInputMessage="1" showErrorMessage="1" sqref="B7:B26">
      <formula1>OrgDg</formula1>
    </dataValidation>
    <dataValidation type="list" allowBlank="1" showInputMessage="1" showErrorMessage="1" sqref="B31:B34">
      <formula1>Kompost</formula1>
    </dataValidation>
    <dataValidation type="list" allowBlank="1" showInputMessage="1" showErrorMessage="1" sqref="B39:B61">
      <formula1>OrgDgohne</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tabColor theme="9" tint="0.59999389629810485"/>
  </sheetPr>
  <dimension ref="A1:AJ502"/>
  <sheetViews>
    <sheetView topLeftCell="A31" zoomScale="80" zoomScaleNormal="80" workbookViewId="0">
      <selection activeCell="F12" sqref="F12"/>
    </sheetView>
  </sheetViews>
  <sheetFormatPr baseColWidth="10" defaultRowHeight="15"/>
  <cols>
    <col min="1" max="1" width="6.5703125" style="795" customWidth="1"/>
    <col min="2" max="2" width="13.85546875" customWidth="1"/>
    <col min="3" max="3" width="58.42578125" customWidth="1"/>
    <col min="4" max="4" width="35.42578125" customWidth="1"/>
    <col min="5" max="6" width="9" customWidth="1"/>
    <col min="7" max="9" width="9.85546875" customWidth="1"/>
    <col min="10" max="10" width="16.140625" customWidth="1"/>
    <col min="14" max="14" width="13.5703125" style="5" customWidth="1"/>
    <col min="15" max="15" width="13" customWidth="1"/>
    <col min="16" max="16" width="13.28515625" customWidth="1"/>
    <col min="17" max="17" width="16.28515625" customWidth="1"/>
    <col min="18" max="18" width="15.5703125" customWidth="1"/>
    <col min="19" max="19" width="12.85546875" customWidth="1"/>
  </cols>
  <sheetData>
    <row r="1" spans="1:36" ht="15.75" thickBot="1"/>
    <row r="2" spans="1:36" ht="33.75" customHeight="1" thickBot="1">
      <c r="C2" s="1334" t="s">
        <v>1460</v>
      </c>
      <c r="D2" s="720" t="s">
        <v>431</v>
      </c>
      <c r="E2" s="737"/>
      <c r="F2" s="719"/>
      <c r="G2" s="1340" t="s">
        <v>1206</v>
      </c>
      <c r="H2" s="1341"/>
      <c r="I2" s="1341"/>
      <c r="J2" s="1341"/>
      <c r="K2" s="1341"/>
      <c r="L2" s="1341"/>
      <c r="M2" s="1341"/>
      <c r="N2" s="1341"/>
      <c r="O2" s="1341"/>
      <c r="P2" s="1341"/>
      <c r="Q2" s="1342"/>
      <c r="R2" s="937"/>
      <c r="S2" s="937"/>
      <c r="T2" s="925"/>
    </row>
    <row r="3" spans="1:36" ht="24.75" customHeight="1">
      <c r="C3" s="1335"/>
      <c r="D3" s="738" t="s">
        <v>537</v>
      </c>
      <c r="E3" s="848">
        <v>33.33</v>
      </c>
      <c r="F3" s="719"/>
      <c r="G3" s="1343"/>
      <c r="H3" s="1344"/>
      <c r="I3" s="1344"/>
      <c r="J3" s="1344"/>
      <c r="K3" s="1344"/>
      <c r="L3" s="1344"/>
      <c r="M3" s="1344"/>
      <c r="N3" s="1344"/>
      <c r="O3" s="1344"/>
      <c r="P3" s="1344"/>
      <c r="Q3" s="1345"/>
      <c r="R3" s="937"/>
      <c r="S3" s="937"/>
      <c r="T3" s="925"/>
    </row>
    <row r="4" spans="1:36" ht="27.75" customHeight="1">
      <c r="B4" s="486"/>
      <c r="C4" s="1335"/>
      <c r="D4" s="448" t="s">
        <v>545</v>
      </c>
      <c r="E4" s="818">
        <v>200</v>
      </c>
      <c r="F4" s="441"/>
      <c r="G4" s="1343"/>
      <c r="H4" s="1344"/>
      <c r="I4" s="1344"/>
      <c r="J4" s="1344"/>
      <c r="K4" s="1344"/>
      <c r="L4" s="1344"/>
      <c r="M4" s="1344"/>
      <c r="N4" s="1344"/>
      <c r="O4" s="1344"/>
      <c r="P4" s="1344"/>
      <c r="Q4" s="1345"/>
      <c r="R4" s="937"/>
      <c r="S4" s="937"/>
      <c r="T4" s="925"/>
    </row>
    <row r="5" spans="1:36" ht="27.75" customHeight="1" thickBot="1">
      <c r="B5" s="486"/>
      <c r="C5" s="1335"/>
      <c r="D5" s="448" t="s">
        <v>546</v>
      </c>
      <c r="E5" s="482">
        <f>E4*E3/100</f>
        <v>66.66</v>
      </c>
      <c r="G5" s="1346"/>
      <c r="H5" s="1347"/>
      <c r="I5" s="1347"/>
      <c r="J5" s="1347"/>
      <c r="K5" s="1347"/>
      <c r="L5" s="1347"/>
      <c r="M5" s="1347"/>
      <c r="N5" s="1347"/>
      <c r="O5" s="1347"/>
      <c r="P5" s="1347"/>
      <c r="Q5" s="1348"/>
      <c r="R5" s="937"/>
      <c r="S5" s="937"/>
      <c r="T5" s="925"/>
    </row>
    <row r="6" spans="1:36" ht="35.25" customHeight="1">
      <c r="A6" s="797"/>
      <c r="B6" s="486"/>
      <c r="C6" s="1335"/>
      <c r="D6" s="451" t="s">
        <v>1110</v>
      </c>
      <c r="E6" s="818">
        <v>30</v>
      </c>
      <c r="G6" s="937"/>
      <c r="H6" s="937"/>
      <c r="I6" s="937"/>
      <c r="J6" s="937"/>
      <c r="K6" s="937"/>
      <c r="L6" s="937"/>
      <c r="M6" s="937"/>
      <c r="N6" s="937"/>
      <c r="O6" s="937"/>
      <c r="P6" s="937"/>
      <c r="Q6" s="937"/>
      <c r="R6" s="937"/>
      <c r="S6" s="937"/>
      <c r="T6" s="517"/>
      <c r="U6" s="42"/>
      <c r="V6" s="42"/>
      <c r="W6" s="42"/>
      <c r="X6" s="42"/>
      <c r="Y6" s="42"/>
      <c r="Z6" s="42"/>
      <c r="AA6" s="42"/>
      <c r="AB6" s="42"/>
      <c r="AC6" s="42"/>
      <c r="AD6" s="42"/>
      <c r="AE6" s="42"/>
      <c r="AF6" s="42"/>
      <c r="AG6" s="42"/>
      <c r="AH6" s="42"/>
      <c r="AI6" s="42"/>
      <c r="AJ6" s="42"/>
    </row>
    <row r="7" spans="1:36" ht="37.5" customHeight="1" thickBot="1">
      <c r="B7" s="486"/>
      <c r="C7" s="1335"/>
      <c r="D7" s="452" t="s">
        <v>1111</v>
      </c>
      <c r="E7" s="481">
        <f>IF(E6=0,0,E5/(E6/100))</f>
        <v>222.2</v>
      </c>
      <c r="G7" s="936"/>
      <c r="H7" s="936"/>
      <c r="I7" s="936"/>
      <c r="J7" s="936"/>
      <c r="K7" s="936"/>
      <c r="L7" s="936"/>
      <c r="M7" s="936"/>
      <c r="N7" s="936"/>
      <c r="O7" s="936"/>
      <c r="P7" s="936"/>
      <c r="Q7" s="936"/>
      <c r="R7" s="936"/>
      <c r="S7" s="936"/>
      <c r="T7" s="517"/>
      <c r="U7" s="42"/>
      <c r="V7" s="42"/>
      <c r="W7" s="42"/>
      <c r="X7" s="42"/>
      <c r="Y7" s="42"/>
      <c r="Z7" s="42"/>
      <c r="AA7" s="42"/>
      <c r="AB7" s="42"/>
      <c r="AC7" s="42"/>
    </row>
    <row r="8" spans="1:36" ht="17.25" customHeight="1">
      <c r="B8" s="486"/>
      <c r="C8" s="146"/>
      <c r="D8" s="1"/>
      <c r="F8" s="42"/>
      <c r="G8" s="764"/>
      <c r="H8" s="764"/>
      <c r="I8" s="764"/>
      <c r="J8" s="764"/>
      <c r="K8" s="764"/>
      <c r="L8" s="764"/>
      <c r="M8" s="764"/>
      <c r="N8" s="739"/>
      <c r="O8" s="739"/>
      <c r="P8" s="739"/>
      <c r="Q8" s="739"/>
      <c r="R8" s="42"/>
      <c r="S8" s="42"/>
      <c r="T8" s="42"/>
      <c r="U8" s="42"/>
      <c r="V8" s="42"/>
      <c r="W8" s="42"/>
      <c r="X8" s="42"/>
      <c r="Y8" s="42"/>
      <c r="Z8" s="42"/>
      <c r="AA8" s="42"/>
      <c r="AB8" s="42"/>
      <c r="AC8" s="42"/>
    </row>
    <row r="9" spans="1:36" s="135" customFormat="1" ht="17.25" customHeight="1">
      <c r="A9" s="796"/>
      <c r="B9" s="721"/>
      <c r="C9" s="146"/>
      <c r="D9" s="538"/>
      <c r="E9" s="730"/>
      <c r="F9" s="718"/>
      <c r="G9" s="718"/>
      <c r="H9" s="718"/>
      <c r="I9" s="718"/>
      <c r="J9" s="415"/>
      <c r="K9" s="718"/>
      <c r="L9" s="718"/>
      <c r="M9" s="718"/>
      <c r="N9" s="718"/>
      <c r="O9" s="718"/>
      <c r="P9" s="718"/>
      <c r="Q9" s="718"/>
      <c r="R9" s="718"/>
      <c r="S9" s="718"/>
      <c r="T9" s="415"/>
      <c r="W9" s="723"/>
      <c r="X9" s="723"/>
      <c r="Y9" s="723"/>
      <c r="Z9" s="723"/>
      <c r="AA9" s="723"/>
      <c r="AB9" s="723"/>
      <c r="AC9" s="723"/>
      <c r="AD9" s="723"/>
      <c r="AE9" s="723"/>
      <c r="AF9" s="723"/>
      <c r="AG9" s="723"/>
      <c r="AH9" s="723"/>
      <c r="AI9" s="723"/>
      <c r="AJ9" s="723"/>
    </row>
    <row r="10" spans="1:36" s="135" customFormat="1" ht="39" customHeight="1">
      <c r="A10" s="796"/>
      <c r="B10" s="721"/>
      <c r="C10" s="146"/>
      <c r="D10" s="734"/>
      <c r="E10" s="735"/>
      <c r="F10" s="736"/>
      <c r="G10" s="1285" t="s">
        <v>17</v>
      </c>
      <c r="H10" s="1285"/>
      <c r="I10" s="1285"/>
      <c r="J10" s="744" t="s">
        <v>1112</v>
      </c>
      <c r="K10" s="1285" t="s">
        <v>444</v>
      </c>
      <c r="L10" s="1285"/>
      <c r="M10" s="1285"/>
      <c r="N10" s="1285" t="s">
        <v>405</v>
      </c>
      <c r="O10" s="1285"/>
      <c r="P10" s="1285"/>
      <c r="T10" s="723"/>
      <c r="U10" s="723"/>
      <c r="V10" s="723"/>
      <c r="W10" s="723"/>
      <c r="X10" s="723"/>
      <c r="Y10" s="723"/>
      <c r="Z10" s="723"/>
      <c r="AA10" s="723"/>
      <c r="AB10" s="723"/>
      <c r="AC10" s="723"/>
      <c r="AD10" s="723"/>
      <c r="AE10" s="723"/>
      <c r="AF10" s="723"/>
      <c r="AG10" s="723"/>
    </row>
    <row r="11" spans="1:36" s="5" customFormat="1" ht="61.5" customHeight="1">
      <c r="A11" s="795" t="s">
        <v>327</v>
      </c>
      <c r="B11" s="317" t="s">
        <v>351</v>
      </c>
      <c r="C11" s="742" t="s">
        <v>1461</v>
      </c>
      <c r="D11" s="508" t="s">
        <v>1056</v>
      </c>
      <c r="E11" s="407" t="s">
        <v>79</v>
      </c>
      <c r="F11" s="417" t="s">
        <v>753</v>
      </c>
      <c r="G11" s="407" t="s">
        <v>16</v>
      </c>
      <c r="H11" s="407" t="s">
        <v>113</v>
      </c>
      <c r="I11" s="407" t="s">
        <v>114</v>
      </c>
      <c r="J11" s="745" t="s">
        <v>1120</v>
      </c>
      <c r="K11" s="733" t="s">
        <v>16</v>
      </c>
      <c r="L11" s="334" t="s">
        <v>113</v>
      </c>
      <c r="M11" s="334" t="s">
        <v>114</v>
      </c>
      <c r="N11" s="731" t="s">
        <v>365</v>
      </c>
      <c r="O11" s="717" t="s">
        <v>1107</v>
      </c>
      <c r="P11" s="732" t="s">
        <v>407</v>
      </c>
      <c r="T11" s="13"/>
      <c r="U11" s="13"/>
      <c r="V11" s="13"/>
      <c r="W11" s="13"/>
      <c r="X11" s="13"/>
      <c r="Y11" s="13"/>
      <c r="Z11" s="13"/>
      <c r="AA11" s="13"/>
      <c r="AB11" s="13"/>
      <c r="AC11" s="13"/>
      <c r="AD11" s="13"/>
      <c r="AE11" s="13"/>
      <c r="AF11" s="13"/>
      <c r="AG11" s="13"/>
      <c r="AH11" s="13"/>
      <c r="AI11" s="13"/>
    </row>
    <row r="12" spans="1:36" s="5" customFormat="1">
      <c r="A12" s="795">
        <f>VLOOKUP(C12,'Daten Biogasanlage'!$B$5:$I$80,2,FALSE)</f>
        <v>0</v>
      </c>
      <c r="B12" s="851"/>
      <c r="C12" s="829" t="s">
        <v>163</v>
      </c>
      <c r="D12" s="830">
        <v>0</v>
      </c>
      <c r="E12" s="830">
        <v>0</v>
      </c>
      <c r="F12" s="830">
        <v>0</v>
      </c>
      <c r="G12" s="350">
        <f>IF(A12="GL",D12/6.25,IF(OR(A12="Getreide",A12="KLeg"),0.86*D12/6.25,IF(OR(A12="Wz"),0.86*D12/5.7,VLOOKUP(C12,'Daten Biogasanlage'!$B$5:$I$80,6,FALSE))))</f>
        <v>0</v>
      </c>
      <c r="H12" s="350">
        <f>IF(A12="GL",-0.06*(D12/6.25)^2+0.43*(D12/6.25)+0.2,VLOOKUP(C12,'Daten Biogasanlage'!$B$5:$I$80,7,FALSE))</f>
        <v>0</v>
      </c>
      <c r="I12" s="350">
        <f>IF(A12="GL",-0.22*(D12/6.25)^2+1.57*(D12/6.25)+0.24,VLOOKUP(C12,'Daten Biogasanlage'!$B$5:$I$80,8,FALSE))</f>
        <v>0</v>
      </c>
      <c r="J12" s="347">
        <f>IF(E12=0,F12*G12*0.95,E12*F12*G12*0.95)</f>
        <v>0</v>
      </c>
      <c r="K12" s="347">
        <f t="shared" ref="K12:K30" si="0">IF(E12=0,F12*G12,E12*F12*G12)</f>
        <v>0</v>
      </c>
      <c r="L12" s="347">
        <f t="shared" ref="L12:L30" si="1">IF(E12=0,F12*H12,E12*F12*H12)</f>
        <v>0</v>
      </c>
      <c r="M12" s="347">
        <f t="shared" ref="M12:M30" si="2">IF(E12=0,F12*I12,E12*F12*I12)</f>
        <v>0</v>
      </c>
      <c r="N12" s="347">
        <f>K12*0.05</f>
        <v>0</v>
      </c>
      <c r="O12" s="454">
        <f t="shared" ref="O12:O30" si="3">(K12-N12)*0.05</f>
        <v>0</v>
      </c>
      <c r="P12" s="454">
        <f t="shared" ref="P12:P30" si="4">(K12-N12-O12)*0.1</f>
        <v>0</v>
      </c>
      <c r="T12" s="13"/>
      <c r="U12" s="13"/>
      <c r="V12" s="13"/>
      <c r="W12" s="13"/>
      <c r="X12" s="13"/>
      <c r="Y12" s="13"/>
      <c r="Z12" s="13"/>
      <c r="AA12" s="13"/>
      <c r="AB12" s="13"/>
      <c r="AC12" s="13"/>
      <c r="AD12" s="13"/>
      <c r="AE12" s="13"/>
      <c r="AF12" s="13"/>
      <c r="AG12" s="13"/>
      <c r="AH12" s="13"/>
      <c r="AI12" s="13"/>
    </row>
    <row r="13" spans="1:36" s="5" customFormat="1">
      <c r="A13" s="795">
        <f>VLOOKUP(C13,'Daten Biogasanlage'!$B$5:$I$80,2,FALSE)</f>
        <v>0</v>
      </c>
      <c r="B13" s="851"/>
      <c r="C13" s="829" t="s">
        <v>163</v>
      </c>
      <c r="D13" s="830">
        <v>0</v>
      </c>
      <c r="E13" s="830">
        <v>0</v>
      </c>
      <c r="F13" s="830">
        <v>0</v>
      </c>
      <c r="G13" s="350">
        <f>IF(A13="GL",D13/6.25,IF(OR(A13="Getreide",A13="KLeg"),0.86*D13/6.25,IF(OR(A13="Wz"),0.86*D13/5.7,VLOOKUP(C13,'Daten Biogasanlage'!$B$5:$I$80,6,FALSE))))</f>
        <v>0</v>
      </c>
      <c r="H13" s="350">
        <f>IF(A13="GL",-0.06*(D13/6.25)^2+0.43*(D13/6.25)+0.2,VLOOKUP(C13,'Daten Biogasanlage'!$B$5:$I$80,7,FALSE))</f>
        <v>0</v>
      </c>
      <c r="I13" s="350">
        <f>IF(A13="GL",-0.22*(D13/6.25)^2+1.57*(D13/6.25)+0.24,VLOOKUP(C13,'Daten Biogasanlage'!$B$5:$I$80,8,FALSE))</f>
        <v>0</v>
      </c>
      <c r="J13" s="347">
        <f t="shared" ref="J13:J30" si="5">IF(E13=0,F13*G13*0.95,E13*F13*G13*0.95)</f>
        <v>0</v>
      </c>
      <c r="K13" s="347">
        <f t="shared" si="0"/>
        <v>0</v>
      </c>
      <c r="L13" s="347">
        <f t="shared" si="1"/>
        <v>0</v>
      </c>
      <c r="M13" s="347">
        <f t="shared" si="2"/>
        <v>0</v>
      </c>
      <c r="N13" s="347">
        <f t="shared" ref="N13:N30" si="6">IF(E13=0,F13*G13*0.05,E13*F13*G13*0.05)</f>
        <v>0</v>
      </c>
      <c r="O13" s="454">
        <f t="shared" si="3"/>
        <v>0</v>
      </c>
      <c r="P13" s="454">
        <f t="shared" si="4"/>
        <v>0</v>
      </c>
      <c r="T13" s="13"/>
      <c r="U13" s="13"/>
      <c r="V13" s="13"/>
      <c r="W13" s="13"/>
      <c r="X13" s="13"/>
      <c r="Y13" s="13"/>
      <c r="Z13" s="13"/>
      <c r="AA13" s="13"/>
      <c r="AB13" s="13"/>
      <c r="AC13" s="13"/>
      <c r="AD13" s="13"/>
      <c r="AE13" s="13"/>
      <c r="AF13" s="13"/>
      <c r="AG13" s="13"/>
      <c r="AH13" s="13"/>
      <c r="AI13" s="13"/>
    </row>
    <row r="14" spans="1:36" s="5" customFormat="1">
      <c r="A14" s="795">
        <f>VLOOKUP(C14,'Daten Biogasanlage'!$B$5:$I$80,2,FALSE)</f>
        <v>0</v>
      </c>
      <c r="B14" s="851"/>
      <c r="C14" s="829" t="s">
        <v>163</v>
      </c>
      <c r="D14" s="830">
        <v>0</v>
      </c>
      <c r="E14" s="830">
        <v>0</v>
      </c>
      <c r="F14" s="830">
        <v>0</v>
      </c>
      <c r="G14" s="350">
        <f>IF(A14="GL",D14/6.25,IF(OR(A14="Getreide",A14="KLeg"),0.86*D14/6.25,IF(OR(A14="Wz"),0.86*D14/5.7,VLOOKUP(C14,'Daten Biogasanlage'!$B$5:$I$80,6,FALSE))))</f>
        <v>0</v>
      </c>
      <c r="H14" s="350">
        <f>IF(A14="GL",-0.06*(D14/6.25)^2+0.43*(D14/6.25)+0.2,VLOOKUP(C14,'Daten Biogasanlage'!$B$5:$I$80,7,FALSE))</f>
        <v>0</v>
      </c>
      <c r="I14" s="350">
        <f>IF(A14="GL",-0.22*(D14/6.25)^2+1.57*(D14/6.25)+0.24,VLOOKUP(C14,'Daten Biogasanlage'!$B$5:$I$80,8,FALSE))</f>
        <v>0</v>
      </c>
      <c r="J14" s="347">
        <f t="shared" si="5"/>
        <v>0</v>
      </c>
      <c r="K14" s="347">
        <f t="shared" si="0"/>
        <v>0</v>
      </c>
      <c r="L14" s="347">
        <f t="shared" si="1"/>
        <v>0</v>
      </c>
      <c r="M14" s="347">
        <f t="shared" si="2"/>
        <v>0</v>
      </c>
      <c r="N14" s="347">
        <f t="shared" si="6"/>
        <v>0</v>
      </c>
      <c r="O14" s="454">
        <f t="shared" si="3"/>
        <v>0</v>
      </c>
      <c r="P14" s="454">
        <f t="shared" si="4"/>
        <v>0</v>
      </c>
      <c r="T14" s="13"/>
      <c r="U14" s="13"/>
      <c r="V14" s="13"/>
      <c r="W14" s="13"/>
      <c r="X14" s="13"/>
      <c r="Y14" s="13"/>
      <c r="Z14" s="13"/>
      <c r="AA14" s="13"/>
      <c r="AB14" s="13"/>
      <c r="AC14" s="13"/>
      <c r="AD14" s="13"/>
      <c r="AE14" s="13"/>
      <c r="AF14" s="13"/>
      <c r="AG14" s="13"/>
      <c r="AH14" s="13"/>
      <c r="AI14" s="13"/>
    </row>
    <row r="15" spans="1:36" s="5" customFormat="1">
      <c r="A15" s="795">
        <f>VLOOKUP(C15,'Daten Biogasanlage'!$B$5:$I$80,2,FALSE)</f>
        <v>0</v>
      </c>
      <c r="B15" s="851"/>
      <c r="C15" s="829" t="s">
        <v>163</v>
      </c>
      <c r="D15" s="830">
        <v>0</v>
      </c>
      <c r="E15" s="830">
        <v>0</v>
      </c>
      <c r="F15" s="830">
        <v>0</v>
      </c>
      <c r="G15" s="350">
        <f>IF(A15="GL",D15/6.25,IF(OR(A15="Getreide",A15="KLeg"),0.86*D15/6.25,IF(OR(A15="Wz"),0.86*D15/5.7,VLOOKUP(C15,'Daten Biogasanlage'!$B$5:$I$80,6,FALSE))))</f>
        <v>0</v>
      </c>
      <c r="H15" s="350">
        <f>IF(A15="GL",-0.06*(D15/6.25)^2+0.43*(D15/6.25)+0.2,VLOOKUP(C15,'Daten Biogasanlage'!$B$5:$I$80,7,FALSE))</f>
        <v>0</v>
      </c>
      <c r="I15" s="350">
        <f>IF(A15="GL",-0.22*(D15/6.25)^2+1.57*(D15/6.25)+0.24,VLOOKUP(C15,'Daten Biogasanlage'!$B$5:$I$80,8,FALSE))</f>
        <v>0</v>
      </c>
      <c r="J15" s="347">
        <f t="shared" si="5"/>
        <v>0</v>
      </c>
      <c r="K15" s="347">
        <f t="shared" si="0"/>
        <v>0</v>
      </c>
      <c r="L15" s="347">
        <f t="shared" si="1"/>
        <v>0</v>
      </c>
      <c r="M15" s="347">
        <f t="shared" si="2"/>
        <v>0</v>
      </c>
      <c r="N15" s="347">
        <f t="shared" si="6"/>
        <v>0</v>
      </c>
      <c r="O15" s="454">
        <f t="shared" si="3"/>
        <v>0</v>
      </c>
      <c r="P15" s="454">
        <f t="shared" si="4"/>
        <v>0</v>
      </c>
      <c r="T15" s="13"/>
      <c r="U15" s="13"/>
      <c r="V15" s="13"/>
      <c r="W15" s="13"/>
      <c r="X15" s="13"/>
      <c r="Y15" s="13"/>
      <c r="Z15" s="13"/>
      <c r="AA15" s="13"/>
      <c r="AB15" s="13"/>
      <c r="AC15" s="13"/>
      <c r="AD15" s="13"/>
      <c r="AE15" s="13"/>
      <c r="AF15" s="13"/>
      <c r="AG15" s="13"/>
      <c r="AH15" s="13"/>
      <c r="AI15" s="13"/>
    </row>
    <row r="16" spans="1:36" s="5" customFormat="1">
      <c r="A16" s="795">
        <f>VLOOKUP(C16,'Daten Biogasanlage'!$B$5:$I$80,2,FALSE)</f>
        <v>0</v>
      </c>
      <c r="B16" s="851"/>
      <c r="C16" s="829" t="s">
        <v>163</v>
      </c>
      <c r="D16" s="830">
        <v>0</v>
      </c>
      <c r="E16" s="830">
        <v>0</v>
      </c>
      <c r="F16" s="830">
        <v>0</v>
      </c>
      <c r="G16" s="350">
        <f>IF(A16="GL",D16/6.25,IF(OR(A16="Getreide",A16="KLeg"),0.86*D16/6.25,IF(OR(A16="Wz"),0.86*D16/5.7,VLOOKUP(C16,'Daten Biogasanlage'!$B$5:$I$80,6,FALSE))))</f>
        <v>0</v>
      </c>
      <c r="H16" s="350">
        <f>IF(A16="GL",-0.06*(D16/6.25)^2+0.43*(D16/6.25)+0.2,VLOOKUP(C16,'Daten Biogasanlage'!$B$5:$I$80,7,FALSE))</f>
        <v>0</v>
      </c>
      <c r="I16" s="350">
        <f>IF(A16="GL",-0.22*(D16/6.25)^2+1.57*(D16/6.25)+0.24,VLOOKUP(C16,'Daten Biogasanlage'!$B$5:$I$80,8,FALSE))</f>
        <v>0</v>
      </c>
      <c r="J16" s="347">
        <f t="shared" si="5"/>
        <v>0</v>
      </c>
      <c r="K16" s="347">
        <f t="shared" si="0"/>
        <v>0</v>
      </c>
      <c r="L16" s="347">
        <f t="shared" si="1"/>
        <v>0</v>
      </c>
      <c r="M16" s="347">
        <f t="shared" si="2"/>
        <v>0</v>
      </c>
      <c r="N16" s="347">
        <f t="shared" si="6"/>
        <v>0</v>
      </c>
      <c r="O16" s="454">
        <f t="shared" si="3"/>
        <v>0</v>
      </c>
      <c r="P16" s="454">
        <f t="shared" si="4"/>
        <v>0</v>
      </c>
      <c r="T16" s="13"/>
      <c r="U16" s="13"/>
      <c r="V16" s="13"/>
      <c r="W16" s="13"/>
      <c r="X16" s="13"/>
      <c r="Y16" s="13"/>
      <c r="Z16" s="13"/>
      <c r="AA16" s="13"/>
      <c r="AB16" s="13"/>
      <c r="AC16" s="13"/>
      <c r="AD16" s="13"/>
      <c r="AE16" s="13"/>
      <c r="AF16" s="13"/>
      <c r="AG16" s="13"/>
      <c r="AH16" s="13"/>
      <c r="AI16" s="13"/>
    </row>
    <row r="17" spans="1:35" s="5" customFormat="1">
      <c r="A17" s="795">
        <f>VLOOKUP(C17,'Daten Biogasanlage'!$B$5:$I$80,2,FALSE)</f>
        <v>0</v>
      </c>
      <c r="B17" s="851"/>
      <c r="C17" s="829" t="s">
        <v>163</v>
      </c>
      <c r="D17" s="830">
        <v>0</v>
      </c>
      <c r="E17" s="830">
        <v>0</v>
      </c>
      <c r="F17" s="830">
        <v>0</v>
      </c>
      <c r="G17" s="350">
        <f>IF(A17="GL",D17/6.25,IF(OR(A17="Getreide",A17="KLeg"),0.86*D17/6.25,IF(OR(A17="Wz"),0.86*D17/5.7,VLOOKUP(C17,'Daten Biogasanlage'!$B$5:$I$80,6,FALSE))))</f>
        <v>0</v>
      </c>
      <c r="H17" s="350">
        <f>IF(A17="GL",-0.06*(D17/6.25)^2+0.43*(D17/6.25)+0.2,VLOOKUP(C17,'Daten Biogasanlage'!$B$5:$I$80,7,FALSE))</f>
        <v>0</v>
      </c>
      <c r="I17" s="350">
        <f>IF(A17="GL",-0.22*(D17/6.25)^2+1.57*(D17/6.25)+0.24,VLOOKUP(C17,'Daten Biogasanlage'!$B$5:$I$80,8,FALSE))</f>
        <v>0</v>
      </c>
      <c r="J17" s="347">
        <f t="shared" si="5"/>
        <v>0</v>
      </c>
      <c r="K17" s="347">
        <f t="shared" si="0"/>
        <v>0</v>
      </c>
      <c r="L17" s="347">
        <f t="shared" si="1"/>
        <v>0</v>
      </c>
      <c r="M17" s="347">
        <f t="shared" si="2"/>
        <v>0</v>
      </c>
      <c r="N17" s="347">
        <f t="shared" si="6"/>
        <v>0</v>
      </c>
      <c r="O17" s="454">
        <f t="shared" si="3"/>
        <v>0</v>
      </c>
      <c r="P17" s="454">
        <f t="shared" si="4"/>
        <v>0</v>
      </c>
      <c r="T17" s="13"/>
      <c r="U17" s="13"/>
      <c r="V17" s="13"/>
      <c r="W17" s="13"/>
      <c r="X17" s="13"/>
      <c r="Y17" s="13"/>
      <c r="Z17" s="13"/>
      <c r="AA17" s="13"/>
      <c r="AB17" s="13"/>
      <c r="AC17" s="13"/>
      <c r="AD17" s="13"/>
      <c r="AE17" s="13"/>
      <c r="AF17" s="13"/>
      <c r="AG17" s="13"/>
      <c r="AH17" s="13"/>
      <c r="AI17" s="13"/>
    </row>
    <row r="18" spans="1:35" s="5" customFormat="1">
      <c r="A18" s="795">
        <f>VLOOKUP(C18,'Daten Biogasanlage'!$B$5:$I$80,2,FALSE)</f>
        <v>0</v>
      </c>
      <c r="B18" s="851"/>
      <c r="C18" s="829" t="s">
        <v>163</v>
      </c>
      <c r="D18" s="830">
        <v>0</v>
      </c>
      <c r="E18" s="830">
        <v>0</v>
      </c>
      <c r="F18" s="830">
        <v>0</v>
      </c>
      <c r="G18" s="350">
        <f>IF(A18="GL",D18/6.25,IF(OR(A18="Getreide",A18="KLeg"),0.86*D18/6.25,IF(OR(A18="Wz"),0.86*D18/5.7,VLOOKUP(C18,'Daten Biogasanlage'!$B$5:$I$80,6,FALSE))))</f>
        <v>0</v>
      </c>
      <c r="H18" s="350">
        <f>IF(A18="GL",-0.06*(D18/6.25)^2+0.43*(D18/6.25)+0.2,VLOOKUP(C18,'Daten Biogasanlage'!$B$5:$I$80,7,FALSE))</f>
        <v>0</v>
      </c>
      <c r="I18" s="350">
        <f>IF(A18="GL",-0.22*(D18/6.25)^2+1.57*(D18/6.25)+0.24,VLOOKUP(C18,'Daten Biogasanlage'!$B$5:$I$80,8,FALSE))</f>
        <v>0</v>
      </c>
      <c r="J18" s="347">
        <f t="shared" si="5"/>
        <v>0</v>
      </c>
      <c r="K18" s="347">
        <f t="shared" si="0"/>
        <v>0</v>
      </c>
      <c r="L18" s="347">
        <f t="shared" si="1"/>
        <v>0</v>
      </c>
      <c r="M18" s="347">
        <f t="shared" si="2"/>
        <v>0</v>
      </c>
      <c r="N18" s="347">
        <f t="shared" si="6"/>
        <v>0</v>
      </c>
      <c r="O18" s="454">
        <f t="shared" si="3"/>
        <v>0</v>
      </c>
      <c r="P18" s="454">
        <f t="shared" si="4"/>
        <v>0</v>
      </c>
      <c r="T18" s="13"/>
      <c r="U18" s="13"/>
      <c r="V18" s="13"/>
      <c r="W18" s="13"/>
      <c r="X18" s="13"/>
      <c r="Y18" s="13"/>
      <c r="Z18" s="13"/>
      <c r="AA18" s="13"/>
      <c r="AB18" s="13"/>
      <c r="AC18" s="13"/>
      <c r="AD18" s="13"/>
      <c r="AE18" s="13"/>
      <c r="AF18" s="13"/>
      <c r="AG18" s="13"/>
      <c r="AH18" s="13"/>
      <c r="AI18" s="13"/>
    </row>
    <row r="19" spans="1:35" s="5" customFormat="1">
      <c r="A19" s="795">
        <f>VLOOKUP(C19,'Daten Biogasanlage'!$B$5:$I$80,2,FALSE)</f>
        <v>0</v>
      </c>
      <c r="B19" s="851"/>
      <c r="C19" s="829" t="s">
        <v>163</v>
      </c>
      <c r="D19" s="830">
        <v>0</v>
      </c>
      <c r="E19" s="830">
        <v>0</v>
      </c>
      <c r="F19" s="830">
        <v>0</v>
      </c>
      <c r="G19" s="350">
        <f>IF(A19="GL",D19/6.25,IF(OR(A19="Getreide",A19="KLeg"),0.86*D19/6.25,IF(OR(A19="Wz"),0.86*D19/5.7,VLOOKUP(C19,'Daten Biogasanlage'!$B$5:$I$80,6,FALSE))))</f>
        <v>0</v>
      </c>
      <c r="H19" s="350">
        <f>IF(A19="GL",-0.06*(D19/6.25)^2+0.43*(D19/6.25)+0.2,VLOOKUP(C19,'Daten Biogasanlage'!$B$5:$I$80,7,FALSE))</f>
        <v>0</v>
      </c>
      <c r="I19" s="350">
        <f>IF(A19="GL",-0.22*(D19/6.25)^2+1.57*(D19/6.25)+0.24,VLOOKUP(C19,'Daten Biogasanlage'!$B$5:$I$80,8,FALSE))</f>
        <v>0</v>
      </c>
      <c r="J19" s="347">
        <f t="shared" si="5"/>
        <v>0</v>
      </c>
      <c r="K19" s="347">
        <f t="shared" si="0"/>
        <v>0</v>
      </c>
      <c r="L19" s="347">
        <f t="shared" si="1"/>
        <v>0</v>
      </c>
      <c r="M19" s="347">
        <f t="shared" si="2"/>
        <v>0</v>
      </c>
      <c r="N19" s="347">
        <f t="shared" si="6"/>
        <v>0</v>
      </c>
      <c r="O19" s="454">
        <f t="shared" si="3"/>
        <v>0</v>
      </c>
      <c r="P19" s="454">
        <f t="shared" si="4"/>
        <v>0</v>
      </c>
      <c r="T19" s="13"/>
      <c r="U19" s="13"/>
      <c r="V19" s="13"/>
      <c r="W19" s="13"/>
      <c r="X19" s="13"/>
      <c r="Y19" s="13"/>
      <c r="Z19" s="13"/>
      <c r="AA19" s="13"/>
      <c r="AB19" s="13"/>
      <c r="AC19" s="13"/>
      <c r="AD19" s="13"/>
      <c r="AE19" s="13"/>
      <c r="AF19" s="13"/>
      <c r="AG19" s="13"/>
      <c r="AH19" s="13"/>
      <c r="AI19" s="13"/>
    </row>
    <row r="20" spans="1:35" s="5" customFormat="1">
      <c r="A20" s="795">
        <f>VLOOKUP(C20,'Daten Biogasanlage'!$B$5:$I$80,2,FALSE)</f>
        <v>0</v>
      </c>
      <c r="B20" s="851"/>
      <c r="C20" s="829" t="s">
        <v>163</v>
      </c>
      <c r="D20" s="830">
        <v>0</v>
      </c>
      <c r="E20" s="830">
        <v>0</v>
      </c>
      <c r="F20" s="830">
        <v>0</v>
      </c>
      <c r="G20" s="350">
        <f>IF(A20="GL",D20/6.25,IF(OR(A20="Getreide",A20="KLeg"),0.86*D20/6.25,IF(OR(A20="Wz"),0.86*D20/5.7,VLOOKUP(C20,'Daten Biogasanlage'!$B$5:$I$80,6,FALSE))))</f>
        <v>0</v>
      </c>
      <c r="H20" s="350">
        <f>IF(A20="GL",-0.06*(D20/6.25)^2+0.43*(D20/6.25)+0.2,VLOOKUP(C20,'Daten Biogasanlage'!$B$5:$I$80,7,FALSE))</f>
        <v>0</v>
      </c>
      <c r="I20" s="350">
        <f>IF(A20="GL",-0.22*(D20/6.25)^2+1.57*(D20/6.25)+0.24,VLOOKUP(C20,'Daten Biogasanlage'!$B$5:$I$80,8,FALSE))</f>
        <v>0</v>
      </c>
      <c r="J20" s="347">
        <f t="shared" si="5"/>
        <v>0</v>
      </c>
      <c r="K20" s="347">
        <f t="shared" si="0"/>
        <v>0</v>
      </c>
      <c r="L20" s="347">
        <f t="shared" si="1"/>
        <v>0</v>
      </c>
      <c r="M20" s="347">
        <f t="shared" si="2"/>
        <v>0</v>
      </c>
      <c r="N20" s="347">
        <f t="shared" si="6"/>
        <v>0</v>
      </c>
      <c r="O20" s="454">
        <f t="shared" si="3"/>
        <v>0</v>
      </c>
      <c r="P20" s="454">
        <f t="shared" si="4"/>
        <v>0</v>
      </c>
      <c r="T20" s="13"/>
      <c r="U20" s="13"/>
      <c r="V20" s="13"/>
      <c r="W20" s="13"/>
      <c r="X20" s="13"/>
      <c r="Y20" s="13"/>
      <c r="Z20" s="13"/>
      <c r="AA20" s="13"/>
      <c r="AB20" s="13"/>
      <c r="AC20" s="13"/>
      <c r="AD20" s="13"/>
      <c r="AE20" s="13"/>
      <c r="AF20" s="13"/>
      <c r="AG20" s="13"/>
      <c r="AH20" s="13"/>
      <c r="AI20" s="13"/>
    </row>
    <row r="21" spans="1:35" s="5" customFormat="1">
      <c r="A21" s="795">
        <f>VLOOKUP(C21,'Daten Biogasanlage'!$B$5:$I$80,2,FALSE)</f>
        <v>0</v>
      </c>
      <c r="B21" s="851"/>
      <c r="C21" s="829" t="s">
        <v>163</v>
      </c>
      <c r="D21" s="830">
        <v>0</v>
      </c>
      <c r="E21" s="830">
        <v>0</v>
      </c>
      <c r="F21" s="830">
        <v>0</v>
      </c>
      <c r="G21" s="350">
        <f>IF(A21="GL",D21/6.25,IF(OR(A21="Getreide",A21="KLeg"),0.86*D21/6.25,IF(OR(A21="Wz"),0.86*D21/5.7,VLOOKUP(C21,'Daten Biogasanlage'!$B$5:$I$80,6,FALSE))))</f>
        <v>0</v>
      </c>
      <c r="H21" s="350">
        <f>IF(A21="GL",-0.06*(D21/6.25)^2+0.43*(D21/6.25)+0.2,VLOOKUP(C21,'Daten Biogasanlage'!$B$5:$I$80,7,FALSE))</f>
        <v>0</v>
      </c>
      <c r="I21" s="350">
        <f>IF(A21="GL",-0.22*(D21/6.25)^2+1.57*(D21/6.25)+0.24,VLOOKUP(C21,'Daten Biogasanlage'!$B$5:$I$80,8,FALSE))</f>
        <v>0</v>
      </c>
      <c r="J21" s="347">
        <f t="shared" si="5"/>
        <v>0</v>
      </c>
      <c r="K21" s="347">
        <f t="shared" si="0"/>
        <v>0</v>
      </c>
      <c r="L21" s="347">
        <f t="shared" si="1"/>
        <v>0</v>
      </c>
      <c r="M21" s="347">
        <f t="shared" si="2"/>
        <v>0</v>
      </c>
      <c r="N21" s="347">
        <f t="shared" si="6"/>
        <v>0</v>
      </c>
      <c r="O21" s="454">
        <f t="shared" si="3"/>
        <v>0</v>
      </c>
      <c r="P21" s="454">
        <f t="shared" si="4"/>
        <v>0</v>
      </c>
      <c r="T21" s="13"/>
      <c r="U21" s="13"/>
      <c r="V21" s="13"/>
      <c r="W21" s="13"/>
      <c r="X21" s="13"/>
      <c r="Y21" s="13"/>
      <c r="Z21" s="13"/>
      <c r="AA21" s="13"/>
      <c r="AB21" s="13"/>
      <c r="AC21" s="13"/>
      <c r="AD21" s="13"/>
      <c r="AE21" s="13"/>
      <c r="AF21" s="13"/>
      <c r="AG21" s="13"/>
      <c r="AH21" s="13"/>
      <c r="AI21" s="13"/>
    </row>
    <row r="22" spans="1:35" s="5" customFormat="1">
      <c r="A22" s="795">
        <f>VLOOKUP(C22,'Daten Biogasanlage'!$B$5:$I$80,2,FALSE)</f>
        <v>0</v>
      </c>
      <c r="B22" s="851"/>
      <c r="C22" s="829" t="s">
        <v>163</v>
      </c>
      <c r="D22" s="830">
        <v>0</v>
      </c>
      <c r="E22" s="830">
        <v>0</v>
      </c>
      <c r="F22" s="830">
        <v>0</v>
      </c>
      <c r="G22" s="350">
        <f>IF(A22="GL",D22/6.25,IF(OR(A22="Getreide",A22="KLeg"),0.86*D22/6.25,IF(OR(A22="Wz"),0.86*D22/5.7,VLOOKUP(C22,'Daten Biogasanlage'!$B$5:$I$80,6,FALSE))))</f>
        <v>0</v>
      </c>
      <c r="H22" s="350">
        <f>IF(A22="GL",-0.06*(D22/6.25)^2+0.43*(D22/6.25)+0.2,VLOOKUP(C22,'Daten Biogasanlage'!$B$5:$I$80,7,FALSE))</f>
        <v>0</v>
      </c>
      <c r="I22" s="350">
        <f>IF(A22="GL",-0.22*(D22/6.25)^2+1.57*(D22/6.25)+0.24,VLOOKUP(C22,'Daten Biogasanlage'!$B$5:$I$80,8,FALSE))</f>
        <v>0</v>
      </c>
      <c r="J22" s="347">
        <f t="shared" si="5"/>
        <v>0</v>
      </c>
      <c r="K22" s="347">
        <f t="shared" si="0"/>
        <v>0</v>
      </c>
      <c r="L22" s="347">
        <f t="shared" si="1"/>
        <v>0</v>
      </c>
      <c r="M22" s="347">
        <f t="shared" si="2"/>
        <v>0</v>
      </c>
      <c r="N22" s="347">
        <f t="shared" si="6"/>
        <v>0</v>
      </c>
      <c r="O22" s="454">
        <f t="shared" si="3"/>
        <v>0</v>
      </c>
      <c r="P22" s="454">
        <f t="shared" si="4"/>
        <v>0</v>
      </c>
      <c r="T22" s="13"/>
      <c r="U22" s="13"/>
      <c r="V22" s="13"/>
      <c r="W22" s="13"/>
      <c r="X22" s="13"/>
      <c r="Y22" s="13"/>
      <c r="Z22" s="13"/>
      <c r="AA22" s="13"/>
      <c r="AB22" s="13"/>
      <c r="AC22" s="13"/>
      <c r="AD22" s="13"/>
      <c r="AE22" s="13"/>
      <c r="AF22" s="13"/>
      <c r="AG22" s="13"/>
      <c r="AH22" s="13"/>
      <c r="AI22" s="13"/>
    </row>
    <row r="23" spans="1:35" s="5" customFormat="1">
      <c r="A23" s="795">
        <f>VLOOKUP(C23,'Daten Biogasanlage'!$B$5:$I$80,2,FALSE)</f>
        <v>0</v>
      </c>
      <c r="B23" s="851"/>
      <c r="C23" s="829" t="s">
        <v>163</v>
      </c>
      <c r="D23" s="830">
        <v>0</v>
      </c>
      <c r="E23" s="830">
        <v>0</v>
      </c>
      <c r="F23" s="830">
        <v>0</v>
      </c>
      <c r="G23" s="350">
        <f>IF(A23="GL",D23/6.25,IF(OR(A23="Getreide",A23="KLeg"),0.86*D23/6.25,IF(OR(A23="Wz"),0.86*D23/5.7,VLOOKUP(C23,'Daten Biogasanlage'!$B$5:$I$80,6,FALSE))))</f>
        <v>0</v>
      </c>
      <c r="H23" s="350">
        <f>IF(A23="GL",-0.06*(D23/6.25)^2+0.43*(D23/6.25)+0.2,VLOOKUP(C23,'Daten Biogasanlage'!$B$5:$I$80,7,FALSE))</f>
        <v>0</v>
      </c>
      <c r="I23" s="350">
        <f>IF(A23="GL",-0.22*(D23/6.25)^2+1.57*(D23/6.25)+0.24,VLOOKUP(C23,'Daten Biogasanlage'!$B$5:$I$80,8,FALSE))</f>
        <v>0</v>
      </c>
      <c r="J23" s="347">
        <f t="shared" si="5"/>
        <v>0</v>
      </c>
      <c r="K23" s="347">
        <f t="shared" si="0"/>
        <v>0</v>
      </c>
      <c r="L23" s="347">
        <f t="shared" si="1"/>
        <v>0</v>
      </c>
      <c r="M23" s="347">
        <f t="shared" si="2"/>
        <v>0</v>
      </c>
      <c r="N23" s="347">
        <f t="shared" si="6"/>
        <v>0</v>
      </c>
      <c r="O23" s="454">
        <f t="shared" si="3"/>
        <v>0</v>
      </c>
      <c r="P23" s="454">
        <f t="shared" si="4"/>
        <v>0</v>
      </c>
      <c r="T23" s="13"/>
      <c r="U23" s="13"/>
      <c r="V23" s="13"/>
      <c r="W23" s="13"/>
      <c r="X23" s="13"/>
      <c r="Y23" s="13"/>
      <c r="Z23" s="13"/>
      <c r="AA23" s="13"/>
      <c r="AB23" s="13"/>
      <c r="AC23" s="13"/>
      <c r="AD23" s="13"/>
      <c r="AE23" s="13"/>
      <c r="AF23" s="13"/>
      <c r="AG23" s="13"/>
      <c r="AH23" s="13"/>
      <c r="AI23" s="13"/>
    </row>
    <row r="24" spans="1:35" s="5" customFormat="1">
      <c r="A24" s="795">
        <f>VLOOKUP(C24,'Daten Biogasanlage'!$B$5:$I$80,2,FALSE)</f>
        <v>0</v>
      </c>
      <c r="B24" s="851"/>
      <c r="C24" s="829" t="s">
        <v>163</v>
      </c>
      <c r="D24" s="830">
        <v>0</v>
      </c>
      <c r="E24" s="830">
        <v>0</v>
      </c>
      <c r="F24" s="830">
        <v>0</v>
      </c>
      <c r="G24" s="350">
        <f>IF(A24="GL",D24/6.25,IF(OR(A24="Getreide",A24="KLeg"),0.86*D24/6.25,IF(OR(A24="Wz"),0.86*D24/5.7,VLOOKUP(C24,'Daten Biogasanlage'!$B$5:$I$80,6,FALSE))))</f>
        <v>0</v>
      </c>
      <c r="H24" s="350">
        <f>IF(A24="GL",-0.06*(D24/6.25)^2+0.43*(D24/6.25)+0.2,VLOOKUP(C24,'Daten Biogasanlage'!$B$5:$I$80,7,FALSE))</f>
        <v>0</v>
      </c>
      <c r="I24" s="350">
        <f>IF(A24="GL",-0.22*(D24/6.25)^2+1.57*(D24/6.25)+0.24,VLOOKUP(C24,'Daten Biogasanlage'!$B$5:$I$80,8,FALSE))</f>
        <v>0</v>
      </c>
      <c r="J24" s="347">
        <f t="shared" si="5"/>
        <v>0</v>
      </c>
      <c r="K24" s="347">
        <f t="shared" si="0"/>
        <v>0</v>
      </c>
      <c r="L24" s="347">
        <f t="shared" si="1"/>
        <v>0</v>
      </c>
      <c r="M24" s="347">
        <f t="shared" si="2"/>
        <v>0</v>
      </c>
      <c r="N24" s="347">
        <f t="shared" si="6"/>
        <v>0</v>
      </c>
      <c r="O24" s="454">
        <f t="shared" si="3"/>
        <v>0</v>
      </c>
      <c r="P24" s="454">
        <f t="shared" si="4"/>
        <v>0</v>
      </c>
      <c r="T24" s="13"/>
      <c r="U24" s="13"/>
      <c r="V24" s="13"/>
      <c r="W24" s="13"/>
      <c r="X24" s="13"/>
      <c r="Y24" s="13"/>
      <c r="Z24" s="13"/>
      <c r="AA24" s="13"/>
      <c r="AB24" s="13"/>
      <c r="AC24" s="13"/>
      <c r="AD24" s="13"/>
      <c r="AE24" s="13"/>
      <c r="AF24" s="13"/>
      <c r="AG24" s="13"/>
      <c r="AH24" s="13"/>
      <c r="AI24" s="13"/>
    </row>
    <row r="25" spans="1:35" s="5" customFormat="1">
      <c r="A25" s="795">
        <f>VLOOKUP(C25,'Daten Biogasanlage'!$B$5:$I$80,2,FALSE)</f>
        <v>0</v>
      </c>
      <c r="B25" s="851"/>
      <c r="C25" s="829" t="s">
        <v>163</v>
      </c>
      <c r="D25" s="830">
        <v>0</v>
      </c>
      <c r="E25" s="830">
        <v>0</v>
      </c>
      <c r="F25" s="830">
        <v>0</v>
      </c>
      <c r="G25" s="350">
        <f>IF(A25="GL",D25/6.25,IF(OR(A25="Getreide",A25="KLeg"),0.86*D25/6.25,IF(OR(A25="Wz"),0.86*D25/5.7,VLOOKUP(C25,'Daten Biogasanlage'!$B$5:$I$80,6,FALSE))))</f>
        <v>0</v>
      </c>
      <c r="H25" s="350">
        <f>IF(A25="GL",-0.06*(D25/6.25)^2+0.43*(D25/6.25)+0.2,VLOOKUP(C25,'Daten Biogasanlage'!$B$5:$I$80,7,FALSE))</f>
        <v>0</v>
      </c>
      <c r="I25" s="350">
        <f>IF(A25="GL",-0.22*(D25/6.25)^2+1.57*(D25/6.25)+0.24,VLOOKUP(C25,'Daten Biogasanlage'!$B$5:$I$80,8,FALSE))</f>
        <v>0</v>
      </c>
      <c r="J25" s="347">
        <f t="shared" si="5"/>
        <v>0</v>
      </c>
      <c r="K25" s="347">
        <f t="shared" si="0"/>
        <v>0</v>
      </c>
      <c r="L25" s="347">
        <f t="shared" si="1"/>
        <v>0</v>
      </c>
      <c r="M25" s="347">
        <f t="shared" si="2"/>
        <v>0</v>
      </c>
      <c r="N25" s="347">
        <f t="shared" si="6"/>
        <v>0</v>
      </c>
      <c r="O25" s="454">
        <f t="shared" si="3"/>
        <v>0</v>
      </c>
      <c r="P25" s="454">
        <f t="shared" si="4"/>
        <v>0</v>
      </c>
      <c r="T25" s="13"/>
      <c r="U25" s="13"/>
      <c r="V25" s="13"/>
      <c r="W25" s="13"/>
      <c r="X25" s="13"/>
      <c r="Y25" s="13"/>
      <c r="Z25" s="13"/>
      <c r="AA25" s="13"/>
      <c r="AB25" s="13"/>
      <c r="AC25" s="13"/>
      <c r="AD25" s="13"/>
      <c r="AE25" s="13"/>
      <c r="AF25" s="13"/>
      <c r="AG25" s="13"/>
      <c r="AH25" s="13"/>
      <c r="AI25" s="13"/>
    </row>
    <row r="26" spans="1:35" s="5" customFormat="1">
      <c r="A26" s="795">
        <f>VLOOKUP(C26,'Daten Biogasanlage'!$B$5:$I$80,2,FALSE)</f>
        <v>0</v>
      </c>
      <c r="B26" s="851"/>
      <c r="C26" s="829" t="s">
        <v>163</v>
      </c>
      <c r="D26" s="830">
        <v>0</v>
      </c>
      <c r="E26" s="830">
        <v>0</v>
      </c>
      <c r="F26" s="830">
        <v>0</v>
      </c>
      <c r="G26" s="350">
        <f>IF(A26="GL",D26/6.25,IF(OR(A26="Getreide",A26="KLeg"),0.86*D26/6.25,IF(OR(A26="Wz"),0.86*D26/5.7,VLOOKUP(C26,'Daten Biogasanlage'!$B$5:$I$80,6,FALSE))))</f>
        <v>0</v>
      </c>
      <c r="H26" s="350">
        <f>IF(A26="GL",-0.06*(D26/6.25)^2+0.43*(D26/6.25)+0.2,VLOOKUP(C26,'Daten Biogasanlage'!$B$5:$I$80,7,FALSE))</f>
        <v>0</v>
      </c>
      <c r="I26" s="350">
        <f>IF(A26="GL",-0.22*(D26/6.25)^2+1.57*(D26/6.25)+0.24,VLOOKUP(C26,'Daten Biogasanlage'!$B$5:$I$80,8,FALSE))</f>
        <v>0</v>
      </c>
      <c r="J26" s="347">
        <f t="shared" si="5"/>
        <v>0</v>
      </c>
      <c r="K26" s="347">
        <f t="shared" si="0"/>
        <v>0</v>
      </c>
      <c r="L26" s="347">
        <f t="shared" si="1"/>
        <v>0</v>
      </c>
      <c r="M26" s="347">
        <f t="shared" si="2"/>
        <v>0</v>
      </c>
      <c r="N26" s="347">
        <f t="shared" si="6"/>
        <v>0</v>
      </c>
      <c r="O26" s="454">
        <f t="shared" si="3"/>
        <v>0</v>
      </c>
      <c r="P26" s="454">
        <f t="shared" si="4"/>
        <v>0</v>
      </c>
      <c r="T26" s="13"/>
      <c r="U26" s="13"/>
      <c r="V26" s="13"/>
      <c r="W26" s="13"/>
      <c r="X26" s="13"/>
      <c r="Y26" s="13"/>
      <c r="Z26" s="13"/>
      <c r="AA26" s="13"/>
      <c r="AB26" s="13"/>
      <c r="AC26" s="13"/>
      <c r="AD26" s="13"/>
      <c r="AE26" s="13"/>
      <c r="AF26" s="13"/>
      <c r="AG26" s="13"/>
      <c r="AH26" s="13"/>
      <c r="AI26" s="13"/>
    </row>
    <row r="27" spans="1:35" s="5" customFormat="1">
      <c r="A27" s="795">
        <f>VLOOKUP(C27,'Daten Biogasanlage'!$B$5:$I$80,2,FALSE)</f>
        <v>0</v>
      </c>
      <c r="B27" s="851"/>
      <c r="C27" s="829" t="s">
        <v>163</v>
      </c>
      <c r="D27" s="830">
        <v>0</v>
      </c>
      <c r="E27" s="830">
        <v>0</v>
      </c>
      <c r="F27" s="830">
        <v>0</v>
      </c>
      <c r="G27" s="350">
        <f>IF(A27="GL",D27/6.25,IF(OR(A27="Getreide",A27="KLeg"),0.86*D27/6.25,IF(OR(A27="Wz"),0.86*D27/5.7,VLOOKUP(C27,'Daten Biogasanlage'!$B$5:$I$80,6,FALSE))))</f>
        <v>0</v>
      </c>
      <c r="H27" s="350">
        <f>IF(A27="GL",-0.06*(D27/6.25)^2+0.43*(D27/6.25)+0.2,VLOOKUP(C27,'Daten Biogasanlage'!$B$5:$I$80,7,FALSE))</f>
        <v>0</v>
      </c>
      <c r="I27" s="350">
        <f>IF(A27="GL",-0.22*(D27/6.25)^2+1.57*(D27/6.25)+0.24,VLOOKUP(C27,'Daten Biogasanlage'!$B$5:$I$80,8,FALSE))</f>
        <v>0</v>
      </c>
      <c r="J27" s="347">
        <f t="shared" si="5"/>
        <v>0</v>
      </c>
      <c r="K27" s="347">
        <f t="shared" si="0"/>
        <v>0</v>
      </c>
      <c r="L27" s="347">
        <f t="shared" si="1"/>
        <v>0</v>
      </c>
      <c r="M27" s="347">
        <f t="shared" si="2"/>
        <v>0</v>
      </c>
      <c r="N27" s="347">
        <f t="shared" si="6"/>
        <v>0</v>
      </c>
      <c r="O27" s="454">
        <f t="shared" si="3"/>
        <v>0</v>
      </c>
      <c r="P27" s="454">
        <f t="shared" si="4"/>
        <v>0</v>
      </c>
      <c r="T27" s="13"/>
      <c r="U27" s="13"/>
      <c r="V27" s="13"/>
      <c r="W27" s="13"/>
      <c r="X27" s="13"/>
      <c r="Y27" s="13"/>
      <c r="Z27" s="13"/>
      <c r="AA27" s="13"/>
      <c r="AB27" s="13"/>
      <c r="AC27" s="13"/>
      <c r="AD27" s="13"/>
      <c r="AE27" s="13"/>
      <c r="AF27" s="13"/>
      <c r="AG27" s="13"/>
      <c r="AH27" s="13"/>
      <c r="AI27" s="13"/>
    </row>
    <row r="28" spans="1:35" s="5" customFormat="1">
      <c r="A28" s="795">
        <f>VLOOKUP(C28,'Daten Biogasanlage'!$B$5:$I$80,2,FALSE)</f>
        <v>0</v>
      </c>
      <c r="B28" s="851"/>
      <c r="C28" s="829" t="s">
        <v>163</v>
      </c>
      <c r="D28" s="830">
        <v>0</v>
      </c>
      <c r="E28" s="830">
        <v>0</v>
      </c>
      <c r="F28" s="830">
        <v>0</v>
      </c>
      <c r="G28" s="350">
        <f>IF(A28="GL",D28/6.25,IF(OR(A28="Getreide",A28="KLeg"),0.86*D28/6.25,IF(OR(A28="Wz"),0.86*D28/5.7,VLOOKUP(C28,'Daten Biogasanlage'!$B$5:$I$80,6,FALSE))))</f>
        <v>0</v>
      </c>
      <c r="H28" s="350">
        <f>IF(A28="GL",-0.06*(D28/6.25)^2+0.43*(D28/6.25)+0.2,VLOOKUP(C28,'Daten Biogasanlage'!$B$5:$I$80,7,FALSE))</f>
        <v>0</v>
      </c>
      <c r="I28" s="350">
        <f>IF(A28="GL",-0.22*(D28/6.25)^2+1.57*(D28/6.25)+0.24,VLOOKUP(C28,'Daten Biogasanlage'!$B$5:$I$80,8,FALSE))</f>
        <v>0</v>
      </c>
      <c r="J28" s="347">
        <f t="shared" si="5"/>
        <v>0</v>
      </c>
      <c r="K28" s="347">
        <f t="shared" si="0"/>
        <v>0</v>
      </c>
      <c r="L28" s="347">
        <f t="shared" si="1"/>
        <v>0</v>
      </c>
      <c r="M28" s="347">
        <f t="shared" si="2"/>
        <v>0</v>
      </c>
      <c r="N28" s="347">
        <f t="shared" si="6"/>
        <v>0</v>
      </c>
      <c r="O28" s="454">
        <f t="shared" si="3"/>
        <v>0</v>
      </c>
      <c r="P28" s="454">
        <f t="shared" si="4"/>
        <v>0</v>
      </c>
      <c r="T28" s="13"/>
      <c r="U28" s="13"/>
      <c r="V28" s="13"/>
      <c r="W28" s="13"/>
      <c r="X28" s="13"/>
      <c r="Y28" s="13"/>
      <c r="Z28" s="13"/>
      <c r="AA28" s="13"/>
      <c r="AB28" s="13"/>
      <c r="AC28" s="13"/>
      <c r="AD28" s="13"/>
      <c r="AE28" s="13"/>
      <c r="AF28" s="13"/>
      <c r="AG28" s="13"/>
      <c r="AH28" s="13"/>
      <c r="AI28" s="13"/>
    </row>
    <row r="29" spans="1:35" s="5" customFormat="1">
      <c r="A29" s="795">
        <f>VLOOKUP(C29,'Daten Biogasanlage'!$B$5:$I$80,2,FALSE)</f>
        <v>0</v>
      </c>
      <c r="B29" s="851"/>
      <c r="C29" s="829" t="s">
        <v>163</v>
      </c>
      <c r="D29" s="830">
        <v>0</v>
      </c>
      <c r="E29" s="830">
        <v>0</v>
      </c>
      <c r="F29" s="830">
        <v>0</v>
      </c>
      <c r="G29" s="350">
        <f>IF(A29="GL",D29/6.25,IF(OR(A29="Getreide",A29="KLeg"),0.86*D29/6.25,IF(OR(A29="Wz"),0.86*D29/5.7,VLOOKUP(C29,'Daten Biogasanlage'!$B$5:$I$80,6,FALSE))))</f>
        <v>0</v>
      </c>
      <c r="H29" s="350">
        <f>IF(A29="GL",-0.06*(D29/6.25)^2+0.43*(D29/6.25)+0.2,VLOOKUP(C29,'Daten Biogasanlage'!$B$5:$I$80,7,FALSE))</f>
        <v>0</v>
      </c>
      <c r="I29" s="350">
        <f>IF(A29="GL",-0.22*(D29/6.25)^2+1.57*(D29/6.25)+0.24,VLOOKUP(C29,'Daten Biogasanlage'!$B$5:$I$80,8,FALSE))</f>
        <v>0</v>
      </c>
      <c r="J29" s="347">
        <f t="shared" si="5"/>
        <v>0</v>
      </c>
      <c r="K29" s="347">
        <f t="shared" si="0"/>
        <v>0</v>
      </c>
      <c r="L29" s="347">
        <f t="shared" si="1"/>
        <v>0</v>
      </c>
      <c r="M29" s="347">
        <f t="shared" si="2"/>
        <v>0</v>
      </c>
      <c r="N29" s="347">
        <f t="shared" si="6"/>
        <v>0</v>
      </c>
      <c r="O29" s="454">
        <f t="shared" si="3"/>
        <v>0</v>
      </c>
      <c r="P29" s="454">
        <f t="shared" si="4"/>
        <v>0</v>
      </c>
      <c r="T29" s="13"/>
      <c r="U29" s="13"/>
      <c r="V29" s="13"/>
      <c r="W29" s="13"/>
      <c r="X29" s="13"/>
      <c r="Y29" s="13"/>
      <c r="Z29" s="13"/>
      <c r="AA29" s="13"/>
      <c r="AB29" s="13"/>
      <c r="AC29" s="13"/>
      <c r="AD29" s="13"/>
      <c r="AE29" s="13"/>
      <c r="AF29" s="13"/>
      <c r="AG29" s="13"/>
      <c r="AH29" s="13"/>
      <c r="AI29" s="13"/>
    </row>
    <row r="30" spans="1:35" s="5" customFormat="1">
      <c r="A30" s="795">
        <f>VLOOKUP(C30,'Daten Biogasanlage'!$B$5:$I$80,2,FALSE)</f>
        <v>0</v>
      </c>
      <c r="B30" s="851"/>
      <c r="C30" s="829" t="s">
        <v>163</v>
      </c>
      <c r="D30" s="830">
        <v>0</v>
      </c>
      <c r="E30" s="830">
        <v>0</v>
      </c>
      <c r="F30" s="830">
        <v>0</v>
      </c>
      <c r="G30" s="350">
        <f>IF(A30="GL",D30/6.25,IF(OR(A30="Getreide",A30="KLeg"),0.86*D30/6.25,IF(OR(A30="Wz"),0.86*D30/5.7,VLOOKUP(C30,'Daten Biogasanlage'!$B$5:$I$80,6,FALSE))))</f>
        <v>0</v>
      </c>
      <c r="H30" s="350">
        <f>IF(A30="GL",-0.06*(D30/6.25)^2+0.43*(D30/6.25)+0.2,VLOOKUP(C30,'Daten Biogasanlage'!$B$5:$I$80,7,FALSE))</f>
        <v>0</v>
      </c>
      <c r="I30" s="350">
        <f>IF(A30="GL",-0.22*(D30/6.25)^2+1.57*(D30/6.25)+0.24,VLOOKUP(C30,'Daten Biogasanlage'!$B$5:$I$80,8,FALSE))</f>
        <v>0</v>
      </c>
      <c r="J30" s="347">
        <f t="shared" si="5"/>
        <v>0</v>
      </c>
      <c r="K30" s="347">
        <f t="shared" si="0"/>
        <v>0</v>
      </c>
      <c r="L30" s="347">
        <f t="shared" si="1"/>
        <v>0</v>
      </c>
      <c r="M30" s="347">
        <f t="shared" si="2"/>
        <v>0</v>
      </c>
      <c r="N30" s="347">
        <f t="shared" si="6"/>
        <v>0</v>
      </c>
      <c r="O30" s="454">
        <f t="shared" si="3"/>
        <v>0</v>
      </c>
      <c r="P30" s="454">
        <f t="shared" si="4"/>
        <v>0</v>
      </c>
      <c r="T30" s="13"/>
      <c r="U30" s="13"/>
      <c r="V30" s="13"/>
      <c r="W30" s="13"/>
      <c r="X30" s="13"/>
      <c r="Y30" s="13"/>
      <c r="Z30" s="13"/>
      <c r="AA30" s="13"/>
      <c r="AB30" s="13"/>
      <c r="AC30" s="13"/>
      <c r="AD30" s="13"/>
      <c r="AE30" s="13"/>
      <c r="AF30" s="13"/>
      <c r="AG30" s="13"/>
      <c r="AH30" s="13"/>
      <c r="AI30" s="13"/>
    </row>
    <row r="31" spans="1:35" s="723" customFormat="1" ht="17.25" customHeight="1">
      <c r="A31" s="804"/>
      <c r="C31" s="768" t="s">
        <v>38</v>
      </c>
      <c r="D31" s="768"/>
      <c r="E31" s="768"/>
      <c r="F31" s="768"/>
      <c r="G31" s="768"/>
      <c r="H31" s="768"/>
      <c r="I31" s="768"/>
      <c r="J31" s="770">
        <f t="shared" ref="J31" si="7">SUM(J12:J30)</f>
        <v>0</v>
      </c>
      <c r="K31" s="770">
        <f t="shared" ref="K31:P31" si="8">SUM(K12:K30)</f>
        <v>0</v>
      </c>
      <c r="L31" s="770">
        <f t="shared" si="8"/>
        <v>0</v>
      </c>
      <c r="M31" s="770">
        <f t="shared" si="8"/>
        <v>0</v>
      </c>
      <c r="N31" s="770">
        <f t="shared" si="8"/>
        <v>0</v>
      </c>
      <c r="O31" s="770">
        <f t="shared" si="8"/>
        <v>0</v>
      </c>
      <c r="P31" s="770">
        <f t="shared" si="8"/>
        <v>0</v>
      </c>
    </row>
    <row r="32" spans="1:35" s="135" customFormat="1">
      <c r="A32" s="804"/>
      <c r="B32" s="306"/>
      <c r="C32" s="352"/>
      <c r="D32" s="352"/>
      <c r="E32" s="352"/>
      <c r="F32" s="352"/>
      <c r="G32" s="352"/>
      <c r="H32" s="352"/>
      <c r="I32" s="352"/>
      <c r="J32" s="352"/>
      <c r="K32" s="306"/>
      <c r="L32" s="306"/>
      <c r="M32" s="316"/>
      <c r="N32" s="316"/>
      <c r="Q32" s="306"/>
      <c r="R32" s="306"/>
      <c r="S32" s="306"/>
      <c r="T32" s="306"/>
      <c r="U32" s="306"/>
      <c r="V32" s="306"/>
      <c r="W32" s="306"/>
      <c r="X32" s="306"/>
      <c r="Y32" s="306"/>
      <c r="Z32" s="306"/>
      <c r="AA32" s="306"/>
      <c r="AB32" s="306"/>
      <c r="AC32" s="306"/>
      <c r="AD32" s="306"/>
      <c r="AE32" s="306"/>
      <c r="AF32" s="306"/>
      <c r="AG32" s="306"/>
    </row>
    <row r="33" spans="1:33" s="135" customFormat="1">
      <c r="A33" s="804"/>
      <c r="B33" s="306"/>
      <c r="C33" s="352"/>
      <c r="E33" s="352"/>
      <c r="F33" s="352"/>
      <c r="G33" s="352"/>
      <c r="H33" s="352"/>
      <c r="I33" s="352"/>
      <c r="J33" s="352"/>
      <c r="K33" s="306"/>
      <c r="L33" s="306"/>
      <c r="M33" s="316"/>
      <c r="N33" s="316"/>
      <c r="Q33" s="306"/>
      <c r="R33" s="306"/>
      <c r="S33" s="306"/>
      <c r="T33" s="306"/>
      <c r="U33" s="306"/>
      <c r="V33" s="306"/>
      <c r="W33" s="306"/>
      <c r="X33" s="306"/>
      <c r="Y33" s="306"/>
      <c r="Z33" s="306"/>
      <c r="AA33" s="306"/>
      <c r="AB33" s="306"/>
      <c r="AC33" s="306"/>
      <c r="AD33" s="306"/>
      <c r="AE33" s="306"/>
      <c r="AF33" s="306"/>
      <c r="AG33" s="306"/>
    </row>
    <row r="34" spans="1:33" s="5" customFormat="1" ht="45.75" customHeight="1">
      <c r="A34" s="801"/>
      <c r="B34" s="13"/>
      <c r="C34" s="422"/>
      <c r="D34" s="422"/>
      <c r="F34" s="422"/>
      <c r="G34" s="1285" t="s">
        <v>132</v>
      </c>
      <c r="H34" s="1338"/>
      <c r="I34" s="1338"/>
      <c r="J34" s="744" t="s">
        <v>1112</v>
      </c>
      <c r="K34" s="1287" t="s">
        <v>444</v>
      </c>
      <c r="L34" s="1337"/>
      <c r="M34" s="1337"/>
      <c r="N34" s="1287" t="s">
        <v>405</v>
      </c>
      <c r="O34" s="1287"/>
      <c r="P34" s="13"/>
      <c r="Q34" s="13"/>
      <c r="R34" s="13"/>
      <c r="S34" s="13"/>
      <c r="T34" s="13"/>
      <c r="U34" s="13"/>
      <c r="V34" s="13"/>
      <c r="W34" s="13"/>
    </row>
    <row r="35" spans="1:33" s="5" customFormat="1" ht="57" customHeight="1">
      <c r="A35" s="801"/>
      <c r="B35" s="330" t="s">
        <v>351</v>
      </c>
      <c r="C35" s="742" t="s">
        <v>1462</v>
      </c>
      <c r="D35" s="555" t="s">
        <v>754</v>
      </c>
      <c r="E35" s="9"/>
      <c r="F35" s="9"/>
      <c r="G35" s="315" t="s">
        <v>16</v>
      </c>
      <c r="H35" s="334" t="s">
        <v>113</v>
      </c>
      <c r="I35" s="334" t="s">
        <v>114</v>
      </c>
      <c r="J35" s="745" t="s">
        <v>1120</v>
      </c>
      <c r="K35" s="421" t="s">
        <v>16</v>
      </c>
      <c r="L35" s="421" t="s">
        <v>113</v>
      </c>
      <c r="M35" s="421" t="s">
        <v>114</v>
      </c>
      <c r="N35" s="383" t="s">
        <v>1107</v>
      </c>
      <c r="O35" s="405" t="s">
        <v>407</v>
      </c>
      <c r="P35" s="13"/>
      <c r="Q35" s="13"/>
      <c r="R35" s="13"/>
      <c r="S35" s="13"/>
      <c r="T35" s="13"/>
      <c r="U35" s="13"/>
      <c r="V35" s="13"/>
    </row>
    <row r="36" spans="1:33" s="5" customFormat="1" ht="15" customHeight="1">
      <c r="A36" s="801"/>
      <c r="B36" s="849"/>
      <c r="C36" s="829" t="s">
        <v>163</v>
      </c>
      <c r="D36" s="852">
        <v>0</v>
      </c>
      <c r="E36" s="9"/>
      <c r="F36" s="9"/>
      <c r="G36" s="346">
        <f>VLOOKUP(C36,'Daten Düngemittel'!$B$5:$J$51,3,FALSE)</f>
        <v>0</v>
      </c>
      <c r="H36" s="350">
        <f>VLOOKUP(C36,'Daten Düngemittel'!$B$5:$J$51,4,FALSE)</f>
        <v>0</v>
      </c>
      <c r="I36" s="350">
        <f>VLOOKUP(C36,'Daten Düngemittel'!$B$5:$J$51,5,FALSE)</f>
        <v>0</v>
      </c>
      <c r="J36" s="347">
        <f>D36*G36*0.95</f>
        <v>0</v>
      </c>
      <c r="K36" s="539">
        <f t="shared" ref="K36:K49" si="9">G36*D36</f>
        <v>0</v>
      </c>
      <c r="L36" s="539">
        <f t="shared" ref="L36:L49" si="10">H36*D36</f>
        <v>0</v>
      </c>
      <c r="M36" s="539">
        <f t="shared" ref="M36:M49" si="11">I36*D36</f>
        <v>0</v>
      </c>
      <c r="N36" s="539">
        <f t="shared" ref="N36:N49" si="12">K36*0.05</f>
        <v>0</v>
      </c>
      <c r="O36" s="20">
        <f t="shared" ref="O36:O49" si="13">(K36-N36)*0.1</f>
        <v>0</v>
      </c>
      <c r="P36" s="13"/>
      <c r="Q36" s="13"/>
      <c r="R36" s="13"/>
      <c r="S36" s="13"/>
      <c r="T36" s="13"/>
    </row>
    <row r="37" spans="1:33" s="5" customFormat="1" ht="15" customHeight="1">
      <c r="A37" s="801"/>
      <c r="B37" s="851"/>
      <c r="C37" s="829" t="s">
        <v>163</v>
      </c>
      <c r="D37" s="852">
        <v>0</v>
      </c>
      <c r="E37" s="9"/>
      <c r="F37" s="9"/>
      <c r="G37" s="346">
        <f>VLOOKUP(C37,'Daten Düngemittel'!$B$5:$J$51,3,FALSE)</f>
        <v>0</v>
      </c>
      <c r="H37" s="350">
        <f>VLOOKUP(C37,'Daten Düngemittel'!$B$5:$J$51,4,FALSE)</f>
        <v>0</v>
      </c>
      <c r="I37" s="350">
        <f>VLOOKUP(C37,'Daten Düngemittel'!$B$5:$J$51,5,FALSE)</f>
        <v>0</v>
      </c>
      <c r="J37" s="347">
        <f t="shared" ref="J37:J49" si="14">D37*G37*0.95</f>
        <v>0</v>
      </c>
      <c r="K37" s="539">
        <f t="shared" si="9"/>
        <v>0</v>
      </c>
      <c r="L37" s="539">
        <f t="shared" si="10"/>
        <v>0</v>
      </c>
      <c r="M37" s="539">
        <f t="shared" si="11"/>
        <v>0</v>
      </c>
      <c r="N37" s="539">
        <f t="shared" si="12"/>
        <v>0</v>
      </c>
      <c r="O37" s="20">
        <f t="shared" si="13"/>
        <v>0</v>
      </c>
      <c r="P37" s="13"/>
      <c r="Q37" s="13"/>
      <c r="R37" s="13"/>
      <c r="S37" s="13"/>
      <c r="T37" s="13"/>
    </row>
    <row r="38" spans="1:33" s="5" customFormat="1" ht="15" customHeight="1">
      <c r="A38" s="801"/>
      <c r="B38" s="851"/>
      <c r="C38" s="829" t="s">
        <v>163</v>
      </c>
      <c r="D38" s="852">
        <v>0</v>
      </c>
      <c r="E38" s="9"/>
      <c r="F38" s="9"/>
      <c r="G38" s="346">
        <f>VLOOKUP(C38,'Daten Düngemittel'!$B$5:$J$51,3,FALSE)</f>
        <v>0</v>
      </c>
      <c r="H38" s="350">
        <f>VLOOKUP(C38,'Daten Düngemittel'!$B$5:$J$51,4,FALSE)</f>
        <v>0</v>
      </c>
      <c r="I38" s="350">
        <f>VLOOKUP(C38,'Daten Düngemittel'!$B$5:$J$51,5,FALSE)</f>
        <v>0</v>
      </c>
      <c r="J38" s="347">
        <f t="shared" si="14"/>
        <v>0</v>
      </c>
      <c r="K38" s="539">
        <f t="shared" si="9"/>
        <v>0</v>
      </c>
      <c r="L38" s="539">
        <f t="shared" si="10"/>
        <v>0</v>
      </c>
      <c r="M38" s="539">
        <f t="shared" si="11"/>
        <v>0</v>
      </c>
      <c r="N38" s="539">
        <f t="shared" si="12"/>
        <v>0</v>
      </c>
      <c r="O38" s="20">
        <f t="shared" si="13"/>
        <v>0</v>
      </c>
      <c r="P38" s="13"/>
      <c r="Q38" s="13"/>
      <c r="R38" s="13"/>
      <c r="S38" s="13"/>
      <c r="T38" s="13"/>
    </row>
    <row r="39" spans="1:33" s="5" customFormat="1" ht="15" customHeight="1">
      <c r="A39" s="801"/>
      <c r="B39" s="851"/>
      <c r="C39" s="829" t="s">
        <v>163</v>
      </c>
      <c r="D39" s="852">
        <v>0</v>
      </c>
      <c r="E39" s="9"/>
      <c r="F39" s="9"/>
      <c r="G39" s="346">
        <f>VLOOKUP(C39,'Daten Düngemittel'!$B$5:$J$51,3,FALSE)</f>
        <v>0</v>
      </c>
      <c r="H39" s="350">
        <f>VLOOKUP(C39,'Daten Düngemittel'!$B$5:$J$51,4,FALSE)</f>
        <v>0</v>
      </c>
      <c r="I39" s="350">
        <f>VLOOKUP(C39,'Daten Düngemittel'!$B$5:$J$51,5,FALSE)</f>
        <v>0</v>
      </c>
      <c r="J39" s="347">
        <f t="shared" si="14"/>
        <v>0</v>
      </c>
      <c r="K39" s="539">
        <f t="shared" si="9"/>
        <v>0</v>
      </c>
      <c r="L39" s="539">
        <f t="shared" si="10"/>
        <v>0</v>
      </c>
      <c r="M39" s="539">
        <f t="shared" si="11"/>
        <v>0</v>
      </c>
      <c r="N39" s="539">
        <f t="shared" si="12"/>
        <v>0</v>
      </c>
      <c r="O39" s="20">
        <f t="shared" si="13"/>
        <v>0</v>
      </c>
      <c r="P39" s="13"/>
      <c r="Q39" s="13"/>
      <c r="R39" s="13"/>
      <c r="S39" s="13"/>
      <c r="T39" s="13"/>
    </row>
    <row r="40" spans="1:33" s="5" customFormat="1" ht="15" customHeight="1">
      <c r="A40" s="801"/>
      <c r="B40" s="851"/>
      <c r="C40" s="829" t="s">
        <v>163</v>
      </c>
      <c r="D40" s="852">
        <v>0</v>
      </c>
      <c r="E40" s="9"/>
      <c r="F40" s="9"/>
      <c r="G40" s="346">
        <f>VLOOKUP(C40,'Daten Düngemittel'!$B$5:$J$51,3,FALSE)</f>
        <v>0</v>
      </c>
      <c r="H40" s="350">
        <f>VLOOKUP(C40,'Daten Düngemittel'!$B$5:$J$51,4,FALSE)</f>
        <v>0</v>
      </c>
      <c r="I40" s="350">
        <f>VLOOKUP(C40,'Daten Düngemittel'!$B$5:$J$51,5,FALSE)</f>
        <v>0</v>
      </c>
      <c r="J40" s="347">
        <f t="shared" si="14"/>
        <v>0</v>
      </c>
      <c r="K40" s="539">
        <f t="shared" si="9"/>
        <v>0</v>
      </c>
      <c r="L40" s="539">
        <f t="shared" si="10"/>
        <v>0</v>
      </c>
      <c r="M40" s="539">
        <f t="shared" si="11"/>
        <v>0</v>
      </c>
      <c r="N40" s="539">
        <f t="shared" si="12"/>
        <v>0</v>
      </c>
      <c r="O40" s="20">
        <f t="shared" si="13"/>
        <v>0</v>
      </c>
      <c r="P40" s="13"/>
      <c r="Q40" s="13"/>
      <c r="R40" s="13"/>
      <c r="S40" s="13"/>
      <c r="T40" s="13"/>
    </row>
    <row r="41" spans="1:33" s="5" customFormat="1" ht="15" customHeight="1">
      <c r="A41" s="801"/>
      <c r="B41" s="851"/>
      <c r="C41" s="829" t="s">
        <v>163</v>
      </c>
      <c r="D41" s="852">
        <v>0</v>
      </c>
      <c r="E41" s="9"/>
      <c r="F41" s="9"/>
      <c r="G41" s="346">
        <f>VLOOKUP(C41,'Daten Düngemittel'!$B$5:$J$51,3,FALSE)</f>
        <v>0</v>
      </c>
      <c r="H41" s="350">
        <f>VLOOKUP(C41,'Daten Düngemittel'!$B$5:$J$51,4,FALSE)</f>
        <v>0</v>
      </c>
      <c r="I41" s="350">
        <f>VLOOKUP(C41,'Daten Düngemittel'!$B$5:$J$51,5,FALSE)</f>
        <v>0</v>
      </c>
      <c r="J41" s="347">
        <f t="shared" si="14"/>
        <v>0</v>
      </c>
      <c r="K41" s="539">
        <f t="shared" si="9"/>
        <v>0</v>
      </c>
      <c r="L41" s="539">
        <f t="shared" si="10"/>
        <v>0</v>
      </c>
      <c r="M41" s="539">
        <f t="shared" si="11"/>
        <v>0</v>
      </c>
      <c r="N41" s="539">
        <f t="shared" si="12"/>
        <v>0</v>
      </c>
      <c r="O41" s="20">
        <f t="shared" si="13"/>
        <v>0</v>
      </c>
      <c r="P41" s="13"/>
      <c r="Q41" s="13"/>
      <c r="R41" s="13"/>
      <c r="S41" s="13"/>
      <c r="T41" s="13"/>
    </row>
    <row r="42" spans="1:33" s="5" customFormat="1" ht="15" customHeight="1">
      <c r="A42" s="801"/>
      <c r="B42" s="851"/>
      <c r="C42" s="829" t="s">
        <v>163</v>
      </c>
      <c r="D42" s="852">
        <v>0</v>
      </c>
      <c r="E42" s="9"/>
      <c r="F42" s="9"/>
      <c r="G42" s="346">
        <f>VLOOKUP(C42,'Daten Düngemittel'!$B$5:$J$51,3,FALSE)</f>
        <v>0</v>
      </c>
      <c r="H42" s="350">
        <f>VLOOKUP(C42,'Daten Düngemittel'!$B$5:$J$51,4,FALSE)</f>
        <v>0</v>
      </c>
      <c r="I42" s="350">
        <f>VLOOKUP(C42,'Daten Düngemittel'!$B$5:$J$51,5,FALSE)</f>
        <v>0</v>
      </c>
      <c r="J42" s="347">
        <f t="shared" si="14"/>
        <v>0</v>
      </c>
      <c r="K42" s="539">
        <f t="shared" si="9"/>
        <v>0</v>
      </c>
      <c r="L42" s="539">
        <f t="shared" si="10"/>
        <v>0</v>
      </c>
      <c r="M42" s="539">
        <f t="shared" si="11"/>
        <v>0</v>
      </c>
      <c r="N42" s="539">
        <f t="shared" si="12"/>
        <v>0</v>
      </c>
      <c r="O42" s="20">
        <f t="shared" si="13"/>
        <v>0</v>
      </c>
      <c r="P42" s="13"/>
      <c r="Q42" s="13"/>
      <c r="R42" s="13"/>
      <c r="S42" s="13"/>
      <c r="T42" s="13"/>
    </row>
    <row r="43" spans="1:33" s="5" customFormat="1" ht="15" customHeight="1">
      <c r="A43" s="801"/>
      <c r="B43" s="851"/>
      <c r="C43" s="829" t="s">
        <v>163</v>
      </c>
      <c r="D43" s="852">
        <v>0</v>
      </c>
      <c r="E43" s="9"/>
      <c r="F43" s="9"/>
      <c r="G43" s="346">
        <f>VLOOKUP(C43,'Daten Düngemittel'!$B$5:$J$51,3,FALSE)</f>
        <v>0</v>
      </c>
      <c r="H43" s="350">
        <f>VLOOKUP(C43,'Daten Düngemittel'!$B$5:$J$51,4,FALSE)</f>
        <v>0</v>
      </c>
      <c r="I43" s="350">
        <f>VLOOKUP(C43,'Daten Düngemittel'!$B$5:$J$51,5,FALSE)</f>
        <v>0</v>
      </c>
      <c r="J43" s="347">
        <f t="shared" si="14"/>
        <v>0</v>
      </c>
      <c r="K43" s="539">
        <f t="shared" si="9"/>
        <v>0</v>
      </c>
      <c r="L43" s="539">
        <f t="shared" si="10"/>
        <v>0</v>
      </c>
      <c r="M43" s="539">
        <f t="shared" si="11"/>
        <v>0</v>
      </c>
      <c r="N43" s="539">
        <f t="shared" si="12"/>
        <v>0</v>
      </c>
      <c r="O43" s="20">
        <f t="shared" si="13"/>
        <v>0</v>
      </c>
      <c r="P43" s="13"/>
      <c r="Q43" s="13"/>
      <c r="R43" s="13"/>
      <c r="S43" s="13"/>
      <c r="T43" s="13"/>
    </row>
    <row r="44" spans="1:33" s="5" customFormat="1" ht="15" customHeight="1">
      <c r="A44" s="801"/>
      <c r="B44" s="851"/>
      <c r="C44" s="829" t="s">
        <v>163</v>
      </c>
      <c r="D44" s="852">
        <v>0</v>
      </c>
      <c r="E44" s="9"/>
      <c r="F44" s="9"/>
      <c r="G44" s="346">
        <f>VLOOKUP(C44,'Daten Düngemittel'!$B$5:$J$51,3,FALSE)</f>
        <v>0</v>
      </c>
      <c r="H44" s="350">
        <f>VLOOKUP(C44,'Daten Düngemittel'!$B$5:$J$51,4,FALSE)</f>
        <v>0</v>
      </c>
      <c r="I44" s="350">
        <f>VLOOKUP(C44,'Daten Düngemittel'!$B$5:$J$51,5,FALSE)</f>
        <v>0</v>
      </c>
      <c r="J44" s="347">
        <f t="shared" si="14"/>
        <v>0</v>
      </c>
      <c r="K44" s="539">
        <f t="shared" si="9"/>
        <v>0</v>
      </c>
      <c r="L44" s="539">
        <f t="shared" si="10"/>
        <v>0</v>
      </c>
      <c r="M44" s="539">
        <f t="shared" si="11"/>
        <v>0</v>
      </c>
      <c r="N44" s="539">
        <f t="shared" si="12"/>
        <v>0</v>
      </c>
      <c r="O44" s="20">
        <f t="shared" si="13"/>
        <v>0</v>
      </c>
      <c r="P44" s="13"/>
      <c r="Q44" s="13"/>
      <c r="R44" s="13"/>
      <c r="S44" s="13"/>
      <c r="T44" s="13"/>
    </row>
    <row r="45" spans="1:33" s="5" customFormat="1" ht="15" customHeight="1">
      <c r="A45" s="801"/>
      <c r="B45" s="851"/>
      <c r="C45" s="829" t="s">
        <v>163</v>
      </c>
      <c r="D45" s="852">
        <v>0</v>
      </c>
      <c r="E45" s="9"/>
      <c r="F45" s="9"/>
      <c r="G45" s="346">
        <f>VLOOKUP(C45,'Daten Düngemittel'!$B$5:$J$51,3,FALSE)</f>
        <v>0</v>
      </c>
      <c r="H45" s="350">
        <f>VLOOKUP(C45,'Daten Düngemittel'!$B$5:$J$51,4,FALSE)</f>
        <v>0</v>
      </c>
      <c r="I45" s="350">
        <f>VLOOKUP(C45,'Daten Düngemittel'!$B$5:$J$51,5,FALSE)</f>
        <v>0</v>
      </c>
      <c r="J45" s="347">
        <f t="shared" si="14"/>
        <v>0</v>
      </c>
      <c r="K45" s="539">
        <f t="shared" si="9"/>
        <v>0</v>
      </c>
      <c r="L45" s="539">
        <f t="shared" si="10"/>
        <v>0</v>
      </c>
      <c r="M45" s="539">
        <f t="shared" si="11"/>
        <v>0</v>
      </c>
      <c r="N45" s="539">
        <f t="shared" si="12"/>
        <v>0</v>
      </c>
      <c r="O45" s="20">
        <f t="shared" si="13"/>
        <v>0</v>
      </c>
      <c r="P45" s="13"/>
      <c r="Q45" s="13"/>
      <c r="R45" s="13"/>
      <c r="S45" s="13"/>
      <c r="T45" s="13"/>
    </row>
    <row r="46" spans="1:33" s="5" customFormat="1" ht="15" customHeight="1">
      <c r="A46" s="801"/>
      <c r="B46" s="851"/>
      <c r="C46" s="829" t="s">
        <v>163</v>
      </c>
      <c r="D46" s="852">
        <v>0</v>
      </c>
      <c r="E46" s="9"/>
      <c r="F46" s="9"/>
      <c r="G46" s="346">
        <f>VLOOKUP(C46,'Daten Düngemittel'!$B$5:$J$51,3,FALSE)</f>
        <v>0</v>
      </c>
      <c r="H46" s="350">
        <f>VLOOKUP(C46,'Daten Düngemittel'!$B$5:$J$51,4,FALSE)</f>
        <v>0</v>
      </c>
      <c r="I46" s="350">
        <f>VLOOKUP(C46,'Daten Düngemittel'!$B$5:$J$51,5,FALSE)</f>
        <v>0</v>
      </c>
      <c r="J46" s="347">
        <f t="shared" si="14"/>
        <v>0</v>
      </c>
      <c r="K46" s="539">
        <f t="shared" si="9"/>
        <v>0</v>
      </c>
      <c r="L46" s="539">
        <f t="shared" si="10"/>
        <v>0</v>
      </c>
      <c r="M46" s="539">
        <f t="shared" si="11"/>
        <v>0</v>
      </c>
      <c r="N46" s="539">
        <f t="shared" si="12"/>
        <v>0</v>
      </c>
      <c r="O46" s="20">
        <f t="shared" si="13"/>
        <v>0</v>
      </c>
      <c r="P46" s="13"/>
      <c r="Q46" s="13"/>
      <c r="R46" s="13"/>
      <c r="S46" s="13"/>
      <c r="T46" s="13"/>
    </row>
    <row r="47" spans="1:33" s="5" customFormat="1" ht="15" customHeight="1">
      <c r="A47" s="801"/>
      <c r="B47" s="851"/>
      <c r="C47" s="829" t="s">
        <v>163</v>
      </c>
      <c r="D47" s="852">
        <v>0</v>
      </c>
      <c r="E47" s="9"/>
      <c r="F47" s="9"/>
      <c r="G47" s="346">
        <f>VLOOKUP(C47,'Daten Düngemittel'!$B$5:$J$51,3,FALSE)</f>
        <v>0</v>
      </c>
      <c r="H47" s="350">
        <f>VLOOKUP(C47,'Daten Düngemittel'!$B$5:$J$51,4,FALSE)</f>
        <v>0</v>
      </c>
      <c r="I47" s="350">
        <f>VLOOKUP(C47,'Daten Düngemittel'!$B$5:$J$51,5,FALSE)</f>
        <v>0</v>
      </c>
      <c r="J47" s="347">
        <f t="shared" si="14"/>
        <v>0</v>
      </c>
      <c r="K47" s="539">
        <f t="shared" si="9"/>
        <v>0</v>
      </c>
      <c r="L47" s="539">
        <f t="shared" si="10"/>
        <v>0</v>
      </c>
      <c r="M47" s="539">
        <f t="shared" si="11"/>
        <v>0</v>
      </c>
      <c r="N47" s="539">
        <f t="shared" si="12"/>
        <v>0</v>
      </c>
      <c r="O47" s="20">
        <f t="shared" si="13"/>
        <v>0</v>
      </c>
      <c r="P47" s="13"/>
      <c r="Q47" s="13"/>
      <c r="R47" s="13"/>
      <c r="S47" s="13"/>
      <c r="T47" s="13"/>
    </row>
    <row r="48" spans="1:33" s="5" customFormat="1" ht="15" customHeight="1">
      <c r="A48" s="801"/>
      <c r="B48" s="851"/>
      <c r="C48" s="829" t="s">
        <v>163</v>
      </c>
      <c r="D48" s="852">
        <v>0</v>
      </c>
      <c r="E48" s="9"/>
      <c r="F48" s="9"/>
      <c r="G48" s="346">
        <f>VLOOKUP(C48,'Daten Düngemittel'!$B$5:$J$51,3,FALSE)</f>
        <v>0</v>
      </c>
      <c r="H48" s="350">
        <f>VLOOKUP(C48,'Daten Düngemittel'!$B$5:$J$51,4,FALSE)</f>
        <v>0</v>
      </c>
      <c r="I48" s="350">
        <f>VLOOKUP(C48,'Daten Düngemittel'!$B$5:$J$51,5,FALSE)</f>
        <v>0</v>
      </c>
      <c r="J48" s="347">
        <f t="shared" si="14"/>
        <v>0</v>
      </c>
      <c r="K48" s="539">
        <f t="shared" si="9"/>
        <v>0</v>
      </c>
      <c r="L48" s="539">
        <f t="shared" si="10"/>
        <v>0</v>
      </c>
      <c r="M48" s="539">
        <f t="shared" si="11"/>
        <v>0</v>
      </c>
      <c r="N48" s="539">
        <f t="shared" si="12"/>
        <v>0</v>
      </c>
      <c r="O48" s="20">
        <f t="shared" si="13"/>
        <v>0</v>
      </c>
      <c r="P48" s="13"/>
      <c r="Q48" s="13"/>
      <c r="R48" s="13"/>
      <c r="S48" s="13"/>
      <c r="T48" s="13"/>
    </row>
    <row r="49" spans="1:33" s="5" customFormat="1" ht="15" customHeight="1">
      <c r="A49" s="801"/>
      <c r="B49" s="851"/>
      <c r="C49" s="829" t="s">
        <v>163</v>
      </c>
      <c r="D49" s="852">
        <v>0</v>
      </c>
      <c r="E49" s="9"/>
      <c r="F49" s="9"/>
      <c r="G49" s="346">
        <f>VLOOKUP(C49,'Daten Düngemittel'!$B$5:$J$51,3,FALSE)</f>
        <v>0</v>
      </c>
      <c r="H49" s="350">
        <f>VLOOKUP(C49,'Daten Düngemittel'!$B$5:$J$51,4,FALSE)</f>
        <v>0</v>
      </c>
      <c r="I49" s="350">
        <f>VLOOKUP(C49,'Daten Düngemittel'!$B$5:$J$51,5,FALSE)</f>
        <v>0</v>
      </c>
      <c r="J49" s="347">
        <f t="shared" si="14"/>
        <v>0</v>
      </c>
      <c r="K49" s="539">
        <f t="shared" si="9"/>
        <v>0</v>
      </c>
      <c r="L49" s="539">
        <f t="shared" si="10"/>
        <v>0</v>
      </c>
      <c r="M49" s="539">
        <f t="shared" si="11"/>
        <v>0</v>
      </c>
      <c r="N49" s="539">
        <f t="shared" si="12"/>
        <v>0</v>
      </c>
      <c r="O49" s="20">
        <f t="shared" si="13"/>
        <v>0</v>
      </c>
      <c r="P49" s="13"/>
      <c r="Q49" s="13"/>
      <c r="R49" s="13"/>
      <c r="S49" s="13"/>
      <c r="T49" s="13"/>
    </row>
    <row r="50" spans="1:33" s="723" customFormat="1" ht="17.25" customHeight="1">
      <c r="A50" s="804"/>
      <c r="C50" s="768" t="s">
        <v>38</v>
      </c>
      <c r="D50" s="768"/>
      <c r="E50" s="768"/>
      <c r="F50" s="768"/>
      <c r="G50" s="768"/>
      <c r="H50" s="768"/>
      <c r="I50" s="768"/>
      <c r="J50" s="770">
        <f t="shared" ref="J50" si="15">SUM(J36:J49)</f>
        <v>0</v>
      </c>
      <c r="K50" s="770">
        <f t="shared" ref="K50:O50" si="16">SUM(K36:K49)</f>
        <v>0</v>
      </c>
      <c r="L50" s="770">
        <f t="shared" si="16"/>
        <v>0</v>
      </c>
      <c r="M50" s="770">
        <f t="shared" si="16"/>
        <v>0</v>
      </c>
      <c r="N50" s="770">
        <f t="shared" si="16"/>
        <v>0</v>
      </c>
      <c r="O50" s="770">
        <f t="shared" si="16"/>
        <v>0</v>
      </c>
      <c r="P50" s="197"/>
    </row>
    <row r="51" spans="1:33" s="5" customFormat="1" ht="15" customHeight="1">
      <c r="A51" s="801"/>
      <c r="B51" s="13"/>
      <c r="N51" s="13"/>
      <c r="O51" s="13"/>
      <c r="P51" s="13"/>
      <c r="Q51" s="13"/>
      <c r="R51" s="13"/>
      <c r="S51" s="13"/>
      <c r="T51" s="13"/>
      <c r="U51" s="13"/>
      <c r="V51" s="13"/>
      <c r="W51" s="13"/>
      <c r="X51" s="13"/>
      <c r="Y51" s="13"/>
      <c r="Z51" s="13"/>
      <c r="AA51" s="13"/>
      <c r="AB51" s="13"/>
      <c r="AC51" s="13"/>
    </row>
    <row r="52" spans="1:33" s="5" customFormat="1">
      <c r="A52" s="795"/>
      <c r="B52" s="306"/>
      <c r="C52" s="352"/>
      <c r="D52" s="135"/>
      <c r="E52" s="352"/>
      <c r="F52" s="352"/>
      <c r="G52" s="352"/>
      <c r="H52" s="352"/>
      <c r="I52" s="352"/>
      <c r="J52" s="352"/>
      <c r="K52" s="306"/>
      <c r="L52" s="306"/>
      <c r="M52" s="715"/>
      <c r="N52" s="715"/>
      <c r="O52" s="135"/>
      <c r="P52" s="135"/>
      <c r="Q52" s="13"/>
      <c r="R52" s="13"/>
      <c r="S52" s="13"/>
      <c r="T52" s="13"/>
      <c r="U52" s="13"/>
      <c r="V52" s="13"/>
      <c r="W52" s="13"/>
      <c r="X52" s="13"/>
      <c r="Y52" s="13"/>
      <c r="Z52" s="13"/>
      <c r="AA52" s="13"/>
      <c r="AB52" s="13"/>
      <c r="AC52" s="13"/>
      <c r="AD52" s="13"/>
      <c r="AE52" s="13"/>
      <c r="AF52" s="13"/>
    </row>
    <row r="53" spans="1:33" s="5" customFormat="1" ht="28.5" customHeight="1">
      <c r="A53" s="795"/>
      <c r="B53" s="13"/>
      <c r="C53" s="714"/>
      <c r="D53" s="714"/>
      <c r="F53" s="714"/>
      <c r="G53" s="1285" t="s">
        <v>132</v>
      </c>
      <c r="H53" s="1338"/>
      <c r="I53" s="1338"/>
      <c r="J53" s="944" t="s">
        <v>1112</v>
      </c>
      <c r="K53" s="1287" t="s">
        <v>1146</v>
      </c>
      <c r="L53" s="1337"/>
      <c r="M53" s="1339"/>
      <c r="N53" s="728"/>
      <c r="O53" s="710"/>
      <c r="P53" s="13"/>
      <c r="Q53" s="13"/>
      <c r="R53" s="13"/>
      <c r="S53" s="13"/>
      <c r="T53" s="13"/>
      <c r="U53" s="13"/>
      <c r="V53" s="13"/>
      <c r="W53" s="13"/>
      <c r="X53" s="13"/>
      <c r="Y53" s="13"/>
      <c r="Z53" s="13"/>
      <c r="AA53" s="13"/>
      <c r="AB53" s="13"/>
      <c r="AC53" s="13"/>
      <c r="AD53" s="13"/>
      <c r="AE53" s="13"/>
      <c r="AF53" s="13"/>
    </row>
    <row r="54" spans="1:33" s="5" customFormat="1" ht="30">
      <c r="A54" s="795"/>
      <c r="B54" s="713" t="s">
        <v>351</v>
      </c>
      <c r="C54" s="742" t="s">
        <v>1463</v>
      </c>
      <c r="D54" s="711" t="s">
        <v>754</v>
      </c>
      <c r="E54" s="9"/>
      <c r="F54" s="9"/>
      <c r="G54" s="315" t="s">
        <v>16</v>
      </c>
      <c r="H54" s="407" t="s">
        <v>113</v>
      </c>
      <c r="I54" s="407" t="s">
        <v>114</v>
      </c>
      <c r="J54" s="438" t="s">
        <v>1215</v>
      </c>
      <c r="K54" s="716" t="s">
        <v>16</v>
      </c>
      <c r="L54" s="716" t="s">
        <v>113</v>
      </c>
      <c r="M54" s="727" t="s">
        <v>114</v>
      </c>
      <c r="N54" s="728"/>
      <c r="O54" s="725"/>
      <c r="P54" s="13"/>
      <c r="Q54" s="13"/>
      <c r="R54" s="13"/>
      <c r="S54" s="13"/>
      <c r="T54" s="13"/>
      <c r="U54" s="13"/>
      <c r="V54" s="13"/>
      <c r="W54" s="13"/>
      <c r="X54" s="13"/>
      <c r="Y54" s="13"/>
      <c r="Z54" s="13"/>
      <c r="AA54" s="13"/>
      <c r="AB54" s="13"/>
      <c r="AC54" s="13"/>
      <c r="AD54" s="13"/>
      <c r="AE54" s="13"/>
      <c r="AF54" s="13"/>
    </row>
    <row r="55" spans="1:33" s="5" customFormat="1">
      <c r="A55" s="795"/>
      <c r="B55" s="849"/>
      <c r="C55" s="829" t="s">
        <v>163</v>
      </c>
      <c r="D55" s="850">
        <v>0</v>
      </c>
      <c r="E55" s="9"/>
      <c r="F55" s="9"/>
      <c r="G55" s="346">
        <f>VLOOKUP(C55,'Daten Düngemittel'!$B$5:$J$51,3,FALSE)</f>
        <v>0</v>
      </c>
      <c r="H55" s="350">
        <f>VLOOKUP(C55,'Daten Düngemittel'!$B$5:$J$51,4,FALSE)</f>
        <v>0</v>
      </c>
      <c r="I55" s="350">
        <f>VLOOKUP(C55,'Daten Düngemittel'!$B$5:$J$51,5,FALSE)</f>
        <v>0</v>
      </c>
      <c r="J55" s="949">
        <f>D55*G55</f>
        <v>0</v>
      </c>
      <c r="K55" s="712">
        <f t="shared" ref="K55:K68" si="17">G55*D55</f>
        <v>0</v>
      </c>
      <c r="L55" s="712">
        <f t="shared" ref="L55:L68" si="18">H55*D55</f>
        <v>0</v>
      </c>
      <c r="M55" s="540">
        <f t="shared" ref="M55:M68" si="19">I55*D55</f>
        <v>0</v>
      </c>
      <c r="N55" s="729"/>
      <c r="O55" s="726"/>
      <c r="P55" s="13"/>
      <c r="Q55" s="13"/>
      <c r="R55" s="13"/>
      <c r="S55" s="13"/>
      <c r="T55" s="13"/>
      <c r="U55" s="13"/>
      <c r="V55" s="13"/>
      <c r="W55" s="13"/>
      <c r="X55" s="13"/>
      <c r="Y55" s="13"/>
      <c r="Z55" s="13"/>
      <c r="AA55" s="13"/>
      <c r="AB55" s="13"/>
      <c r="AC55" s="13"/>
      <c r="AD55" s="13"/>
      <c r="AE55" s="13"/>
      <c r="AF55" s="13"/>
    </row>
    <row r="56" spans="1:33" s="5" customFormat="1">
      <c r="A56" s="795"/>
      <c r="B56" s="851"/>
      <c r="C56" s="829" t="s">
        <v>163</v>
      </c>
      <c r="D56" s="852">
        <v>0</v>
      </c>
      <c r="E56" s="9"/>
      <c r="F56" s="9"/>
      <c r="G56" s="346">
        <f>VLOOKUP(C56,'Daten Düngemittel'!$B$5:$J$51,3,FALSE)</f>
        <v>0</v>
      </c>
      <c r="H56" s="350">
        <f>VLOOKUP(C56,'Daten Düngemittel'!$B$5:$J$51,4,FALSE)</f>
        <v>0</v>
      </c>
      <c r="I56" s="350">
        <f>VLOOKUP(C56,'Daten Düngemittel'!$B$5:$J$51,5,FALSE)</f>
        <v>0</v>
      </c>
      <c r="J56" s="949">
        <f t="shared" ref="J56:J68" si="20">D56*G56</f>
        <v>0</v>
      </c>
      <c r="K56" s="712">
        <f t="shared" si="17"/>
        <v>0</v>
      </c>
      <c r="L56" s="712">
        <f t="shared" si="18"/>
        <v>0</v>
      </c>
      <c r="M56" s="540">
        <f t="shared" si="19"/>
        <v>0</v>
      </c>
      <c r="N56" s="729"/>
      <c r="O56" s="726"/>
      <c r="P56" s="13"/>
      <c r="Q56" s="13"/>
      <c r="R56" s="13"/>
      <c r="S56" s="13"/>
      <c r="T56" s="13"/>
      <c r="U56" s="13"/>
      <c r="V56" s="13"/>
      <c r="W56" s="13"/>
      <c r="X56" s="13"/>
      <c r="Y56" s="13"/>
      <c r="Z56" s="13"/>
      <c r="AA56" s="13"/>
      <c r="AB56" s="13"/>
      <c r="AC56" s="13"/>
      <c r="AD56" s="13"/>
      <c r="AE56" s="13"/>
      <c r="AF56" s="13"/>
    </row>
    <row r="57" spans="1:33" s="5" customFormat="1">
      <c r="A57" s="795"/>
      <c r="B57" s="851"/>
      <c r="C57" s="829" t="s">
        <v>163</v>
      </c>
      <c r="D57" s="852">
        <v>0</v>
      </c>
      <c r="E57" s="9"/>
      <c r="F57" s="9"/>
      <c r="G57" s="346">
        <f>VLOOKUP(C57,'Daten Düngemittel'!$B$5:$J$51,3,FALSE)</f>
        <v>0</v>
      </c>
      <c r="H57" s="350">
        <f>VLOOKUP(C57,'Daten Düngemittel'!$B$5:$J$51,4,FALSE)</f>
        <v>0</v>
      </c>
      <c r="I57" s="350">
        <f>VLOOKUP(C57,'Daten Düngemittel'!$B$5:$J$51,5,FALSE)</f>
        <v>0</v>
      </c>
      <c r="J57" s="949">
        <f t="shared" si="20"/>
        <v>0</v>
      </c>
      <c r="K57" s="712">
        <f t="shared" si="17"/>
        <v>0</v>
      </c>
      <c r="L57" s="712">
        <f t="shared" si="18"/>
        <v>0</v>
      </c>
      <c r="M57" s="540">
        <f t="shared" si="19"/>
        <v>0</v>
      </c>
      <c r="N57" s="729"/>
      <c r="O57" s="726"/>
      <c r="P57" s="13"/>
      <c r="Q57" s="13"/>
      <c r="R57" s="13"/>
      <c r="S57" s="13"/>
      <c r="T57" s="13"/>
      <c r="U57" s="13"/>
      <c r="V57" s="13"/>
      <c r="W57" s="13"/>
      <c r="X57" s="13"/>
      <c r="Y57" s="13"/>
      <c r="Z57" s="13"/>
      <c r="AA57" s="13"/>
      <c r="AB57" s="13"/>
      <c r="AC57" s="13"/>
      <c r="AD57" s="13"/>
      <c r="AE57" s="13"/>
      <c r="AF57" s="13"/>
    </row>
    <row r="58" spans="1:33" s="5" customFormat="1">
      <c r="A58" s="795"/>
      <c r="B58" s="851"/>
      <c r="C58" s="829" t="s">
        <v>163</v>
      </c>
      <c r="D58" s="852">
        <v>0</v>
      </c>
      <c r="E58" s="9"/>
      <c r="F58" s="9"/>
      <c r="G58" s="346">
        <f>VLOOKUP(C58,'Daten Düngemittel'!$B$5:$J$51,3,FALSE)</f>
        <v>0</v>
      </c>
      <c r="H58" s="350">
        <f>VLOOKUP(C58,'Daten Düngemittel'!$B$5:$J$51,4,FALSE)</f>
        <v>0</v>
      </c>
      <c r="I58" s="350">
        <f>VLOOKUP(C58,'Daten Düngemittel'!$B$5:$J$51,5,FALSE)</f>
        <v>0</v>
      </c>
      <c r="J58" s="949">
        <f t="shared" si="20"/>
        <v>0</v>
      </c>
      <c r="K58" s="712">
        <f t="shared" si="17"/>
        <v>0</v>
      </c>
      <c r="L58" s="712">
        <f t="shared" si="18"/>
        <v>0</v>
      </c>
      <c r="M58" s="540">
        <f t="shared" si="19"/>
        <v>0</v>
      </c>
      <c r="N58" s="729"/>
      <c r="O58" s="726"/>
      <c r="P58" s="13"/>
      <c r="Q58" s="13"/>
      <c r="R58" s="13"/>
      <c r="S58" s="13"/>
      <c r="T58" s="13"/>
      <c r="U58" s="13"/>
      <c r="V58" s="13"/>
      <c r="W58" s="13"/>
      <c r="X58" s="13"/>
      <c r="Y58" s="13"/>
      <c r="Z58" s="13"/>
      <c r="AA58" s="13"/>
      <c r="AB58" s="13"/>
      <c r="AC58" s="13"/>
      <c r="AD58" s="13"/>
      <c r="AE58" s="13"/>
      <c r="AF58" s="13"/>
    </row>
    <row r="59" spans="1:33" s="5" customFormat="1">
      <c r="A59" s="795"/>
      <c r="B59" s="851"/>
      <c r="C59" s="829" t="s">
        <v>163</v>
      </c>
      <c r="D59" s="852">
        <v>0</v>
      </c>
      <c r="E59" s="9"/>
      <c r="F59" s="9"/>
      <c r="G59" s="346">
        <f>VLOOKUP(C59,'Daten Düngemittel'!$B$5:$J$51,3,FALSE)</f>
        <v>0</v>
      </c>
      <c r="H59" s="350">
        <f>VLOOKUP(C59,'Daten Düngemittel'!$B$5:$J$51,4,FALSE)</f>
        <v>0</v>
      </c>
      <c r="I59" s="350">
        <f>VLOOKUP(C59,'Daten Düngemittel'!$B$5:$J$51,5,FALSE)</f>
        <v>0</v>
      </c>
      <c r="J59" s="949">
        <f t="shared" si="20"/>
        <v>0</v>
      </c>
      <c r="K59" s="712">
        <f t="shared" si="17"/>
        <v>0</v>
      </c>
      <c r="L59" s="712">
        <f t="shared" si="18"/>
        <v>0</v>
      </c>
      <c r="M59" s="540">
        <f t="shared" si="19"/>
        <v>0</v>
      </c>
      <c r="N59" s="729"/>
      <c r="O59" s="726"/>
      <c r="P59" s="13"/>
      <c r="Q59" s="13"/>
      <c r="R59" s="13"/>
      <c r="S59" s="13"/>
      <c r="T59" s="13"/>
      <c r="U59" s="13"/>
      <c r="V59" s="13"/>
      <c r="W59" s="13"/>
      <c r="X59" s="13"/>
      <c r="Y59" s="13"/>
      <c r="Z59" s="13"/>
      <c r="AA59" s="13"/>
      <c r="AB59" s="13"/>
      <c r="AC59" s="13"/>
      <c r="AD59" s="13"/>
      <c r="AE59" s="13"/>
      <c r="AF59" s="13"/>
    </row>
    <row r="60" spans="1:33" s="5" customFormat="1">
      <c r="A60" s="801"/>
      <c r="B60" s="851"/>
      <c r="C60" s="829" t="s">
        <v>163</v>
      </c>
      <c r="D60" s="852">
        <v>0</v>
      </c>
      <c r="E60" s="9"/>
      <c r="F60" s="9"/>
      <c r="G60" s="346">
        <f>VLOOKUP(C60,'Daten Düngemittel'!$B$5:$J$51,3,FALSE)</f>
        <v>0</v>
      </c>
      <c r="H60" s="350">
        <f>VLOOKUP(C60,'Daten Düngemittel'!$B$5:$J$51,4,FALSE)</f>
        <v>0</v>
      </c>
      <c r="I60" s="350">
        <f>VLOOKUP(C60,'Daten Düngemittel'!$B$5:$J$51,5,FALSE)</f>
        <v>0</v>
      </c>
      <c r="J60" s="949">
        <f t="shared" si="20"/>
        <v>0</v>
      </c>
      <c r="K60" s="712">
        <f t="shared" si="17"/>
        <v>0</v>
      </c>
      <c r="L60" s="712">
        <f t="shared" si="18"/>
        <v>0</v>
      </c>
      <c r="M60" s="540">
        <f t="shared" si="19"/>
        <v>0</v>
      </c>
      <c r="N60" s="729"/>
      <c r="O60" s="726"/>
      <c r="P60" s="13"/>
      <c r="R60" s="13"/>
      <c r="S60" s="13"/>
      <c r="T60" s="13"/>
      <c r="U60" s="13"/>
      <c r="V60" s="13"/>
      <c r="W60" s="13"/>
      <c r="X60" s="13"/>
      <c r="Y60" s="13"/>
      <c r="Z60" s="13"/>
      <c r="AA60" s="13"/>
      <c r="AB60" s="13"/>
      <c r="AC60" s="13"/>
      <c r="AD60" s="13"/>
      <c r="AE60" s="13"/>
      <c r="AF60" s="13"/>
      <c r="AG60" s="13"/>
    </row>
    <row r="61" spans="1:33" s="5" customFormat="1">
      <c r="A61" s="801"/>
      <c r="B61" s="851"/>
      <c r="C61" s="829" t="s">
        <v>163</v>
      </c>
      <c r="D61" s="852">
        <v>0</v>
      </c>
      <c r="E61" s="9"/>
      <c r="F61" s="9"/>
      <c r="G61" s="346">
        <f>VLOOKUP(C61,'Daten Düngemittel'!$B$5:$J$51,3,FALSE)</f>
        <v>0</v>
      </c>
      <c r="H61" s="350">
        <f>VLOOKUP(C61,'Daten Düngemittel'!$B$5:$J$51,4,FALSE)</f>
        <v>0</v>
      </c>
      <c r="I61" s="350">
        <f>VLOOKUP(C61,'Daten Düngemittel'!$B$5:$J$51,5,FALSE)</f>
        <v>0</v>
      </c>
      <c r="J61" s="949">
        <f t="shared" si="20"/>
        <v>0</v>
      </c>
      <c r="K61" s="712">
        <f t="shared" si="17"/>
        <v>0</v>
      </c>
      <c r="L61" s="712">
        <f t="shared" si="18"/>
        <v>0</v>
      </c>
      <c r="M61" s="540">
        <f t="shared" si="19"/>
        <v>0</v>
      </c>
      <c r="N61" s="729"/>
      <c r="O61" s="726"/>
      <c r="P61" s="13"/>
      <c r="Q61" s="13"/>
      <c r="R61" s="13"/>
      <c r="S61" s="13"/>
      <c r="T61" s="13"/>
      <c r="U61" s="13"/>
      <c r="V61" s="13"/>
      <c r="W61" s="13"/>
      <c r="X61" s="13"/>
      <c r="Y61" s="13"/>
      <c r="Z61" s="13"/>
      <c r="AA61" s="13"/>
      <c r="AB61" s="13"/>
      <c r="AC61" s="13"/>
      <c r="AD61" s="13"/>
      <c r="AE61" s="13"/>
      <c r="AF61" s="13"/>
      <c r="AG61" s="13"/>
    </row>
    <row r="62" spans="1:33" s="5" customFormat="1">
      <c r="A62" s="795"/>
      <c r="B62" s="851"/>
      <c r="C62" s="829" t="s">
        <v>163</v>
      </c>
      <c r="D62" s="852">
        <v>0</v>
      </c>
      <c r="E62" s="9"/>
      <c r="F62" s="9"/>
      <c r="G62" s="346">
        <f>VLOOKUP(C62,'Daten Düngemittel'!$B$5:$J$51,3,FALSE)</f>
        <v>0</v>
      </c>
      <c r="H62" s="350">
        <f>VLOOKUP(C62,'Daten Düngemittel'!$B$5:$J$51,4,FALSE)</f>
        <v>0</v>
      </c>
      <c r="I62" s="350">
        <f>VLOOKUP(C62,'Daten Düngemittel'!$B$5:$J$51,5,FALSE)</f>
        <v>0</v>
      </c>
      <c r="J62" s="949">
        <f t="shared" si="20"/>
        <v>0</v>
      </c>
      <c r="K62" s="712">
        <f t="shared" si="17"/>
        <v>0</v>
      </c>
      <c r="L62" s="712">
        <f t="shared" si="18"/>
        <v>0</v>
      </c>
      <c r="M62" s="540">
        <f t="shared" si="19"/>
        <v>0</v>
      </c>
      <c r="N62" s="729"/>
      <c r="O62" s="726"/>
      <c r="P62" s="13"/>
      <c r="Q62" s="13"/>
      <c r="R62" s="13"/>
      <c r="S62" s="13"/>
      <c r="T62" s="13"/>
      <c r="U62" s="13"/>
      <c r="V62" s="13"/>
      <c r="W62" s="13"/>
      <c r="X62" s="13"/>
      <c r="Y62" s="13"/>
      <c r="Z62" s="13"/>
      <c r="AA62" s="13"/>
      <c r="AB62" s="13"/>
      <c r="AC62" s="13"/>
      <c r="AD62" s="13"/>
      <c r="AE62" s="13"/>
      <c r="AF62" s="13"/>
      <c r="AG62" s="13"/>
    </row>
    <row r="63" spans="1:33" s="5" customFormat="1">
      <c r="A63" s="795"/>
      <c r="B63" s="851"/>
      <c r="C63" s="829" t="s">
        <v>163</v>
      </c>
      <c r="D63" s="852">
        <v>0</v>
      </c>
      <c r="E63" s="9"/>
      <c r="F63" s="9"/>
      <c r="G63" s="346">
        <f>VLOOKUP(C63,'Daten Düngemittel'!$B$5:$J$51,3,FALSE)</f>
        <v>0</v>
      </c>
      <c r="H63" s="350">
        <f>VLOOKUP(C63,'Daten Düngemittel'!$B$5:$J$51,4,FALSE)</f>
        <v>0</v>
      </c>
      <c r="I63" s="350">
        <f>VLOOKUP(C63,'Daten Düngemittel'!$B$5:$J$51,5,FALSE)</f>
        <v>0</v>
      </c>
      <c r="J63" s="949">
        <f t="shared" si="20"/>
        <v>0</v>
      </c>
      <c r="K63" s="712">
        <f t="shared" si="17"/>
        <v>0</v>
      </c>
      <c r="L63" s="712">
        <f t="shared" si="18"/>
        <v>0</v>
      </c>
      <c r="M63" s="540">
        <f t="shared" si="19"/>
        <v>0</v>
      </c>
      <c r="N63" s="729"/>
      <c r="O63" s="726"/>
      <c r="P63" s="13"/>
      <c r="Q63" s="13"/>
      <c r="R63" s="13"/>
      <c r="S63" s="13"/>
      <c r="T63" s="13"/>
      <c r="U63" s="13"/>
      <c r="V63" s="13"/>
      <c r="W63" s="13"/>
      <c r="X63" s="13"/>
      <c r="Y63" s="13"/>
      <c r="Z63" s="13"/>
      <c r="AA63" s="13"/>
      <c r="AB63" s="13"/>
      <c r="AC63" s="13"/>
      <c r="AD63" s="13"/>
      <c r="AE63" s="13"/>
      <c r="AF63" s="13"/>
      <c r="AG63" s="13"/>
    </row>
    <row r="64" spans="1:33" s="5" customFormat="1">
      <c r="A64" s="801"/>
      <c r="B64" s="851"/>
      <c r="C64" s="829" t="s">
        <v>163</v>
      </c>
      <c r="D64" s="852">
        <v>0</v>
      </c>
      <c r="E64" s="9"/>
      <c r="F64" s="9"/>
      <c r="G64" s="346">
        <f>VLOOKUP(C64,'Daten Düngemittel'!$B$5:$J$51,3,FALSE)</f>
        <v>0</v>
      </c>
      <c r="H64" s="350">
        <f>VLOOKUP(C64,'Daten Düngemittel'!$B$5:$J$51,4,FALSE)</f>
        <v>0</v>
      </c>
      <c r="I64" s="350">
        <f>VLOOKUP(C64,'Daten Düngemittel'!$B$5:$J$51,5,FALSE)</f>
        <v>0</v>
      </c>
      <c r="J64" s="949">
        <f t="shared" si="20"/>
        <v>0</v>
      </c>
      <c r="K64" s="712">
        <f t="shared" si="17"/>
        <v>0</v>
      </c>
      <c r="L64" s="712">
        <f t="shared" si="18"/>
        <v>0</v>
      </c>
      <c r="M64" s="540">
        <f t="shared" si="19"/>
        <v>0</v>
      </c>
      <c r="N64" s="729"/>
      <c r="O64" s="726"/>
      <c r="P64" s="13"/>
      <c r="Q64" s="13"/>
      <c r="R64" s="13"/>
      <c r="S64" s="13"/>
      <c r="T64" s="13"/>
      <c r="U64" s="13"/>
      <c r="V64" s="13"/>
      <c r="W64" s="13"/>
      <c r="X64" s="13"/>
      <c r="Y64" s="13"/>
      <c r="Z64" s="13"/>
      <c r="AA64" s="13"/>
      <c r="AB64" s="13"/>
      <c r="AC64" s="13"/>
      <c r="AD64" s="13"/>
      <c r="AE64" s="13"/>
      <c r="AF64" s="13"/>
      <c r="AG64" s="13"/>
    </row>
    <row r="65" spans="1:36" s="5" customFormat="1">
      <c r="A65" s="801"/>
      <c r="B65" s="851"/>
      <c r="C65" s="829" t="s">
        <v>163</v>
      </c>
      <c r="D65" s="852">
        <v>0</v>
      </c>
      <c r="E65" s="9"/>
      <c r="F65" s="9"/>
      <c r="G65" s="346">
        <f>VLOOKUP(C65,'Daten Düngemittel'!$B$5:$J$51,3,FALSE)</f>
        <v>0</v>
      </c>
      <c r="H65" s="350">
        <f>VLOOKUP(C65,'Daten Düngemittel'!$B$5:$J$51,4,FALSE)</f>
        <v>0</v>
      </c>
      <c r="I65" s="350">
        <f>VLOOKUP(C65,'Daten Düngemittel'!$B$5:$J$51,5,FALSE)</f>
        <v>0</v>
      </c>
      <c r="J65" s="949">
        <f t="shared" si="20"/>
        <v>0</v>
      </c>
      <c r="K65" s="712">
        <f t="shared" si="17"/>
        <v>0</v>
      </c>
      <c r="L65" s="712">
        <f t="shared" si="18"/>
        <v>0</v>
      </c>
      <c r="M65" s="540">
        <f t="shared" si="19"/>
        <v>0</v>
      </c>
      <c r="N65" s="729"/>
      <c r="O65" s="726"/>
      <c r="P65" s="13"/>
      <c r="Q65" s="13"/>
      <c r="R65" s="13"/>
      <c r="S65" s="13"/>
      <c r="T65" s="13"/>
      <c r="U65" s="13"/>
      <c r="V65" s="13"/>
      <c r="W65" s="13"/>
      <c r="X65" s="13"/>
      <c r="Y65" s="13"/>
      <c r="Z65" s="13"/>
      <c r="AA65" s="13"/>
      <c r="AB65" s="13"/>
      <c r="AC65" s="13"/>
      <c r="AD65" s="13"/>
      <c r="AE65" s="13"/>
      <c r="AF65" s="13"/>
      <c r="AG65" s="13"/>
    </row>
    <row r="66" spans="1:36" s="5" customFormat="1">
      <c r="A66" s="801"/>
      <c r="B66" s="851"/>
      <c r="C66" s="829" t="s">
        <v>163</v>
      </c>
      <c r="D66" s="852">
        <v>0</v>
      </c>
      <c r="E66" s="9"/>
      <c r="F66" s="9"/>
      <c r="G66" s="346">
        <f>VLOOKUP(C66,'Daten Düngemittel'!$B$5:$J$51,3,FALSE)</f>
        <v>0</v>
      </c>
      <c r="H66" s="350">
        <f>VLOOKUP(C66,'Daten Düngemittel'!$B$5:$J$51,4,FALSE)</f>
        <v>0</v>
      </c>
      <c r="I66" s="350">
        <f>VLOOKUP(C66,'Daten Düngemittel'!$B$5:$J$51,5,FALSE)</f>
        <v>0</v>
      </c>
      <c r="J66" s="949">
        <f t="shared" si="20"/>
        <v>0</v>
      </c>
      <c r="K66" s="712">
        <f t="shared" si="17"/>
        <v>0</v>
      </c>
      <c r="L66" s="712">
        <f t="shared" si="18"/>
        <v>0</v>
      </c>
      <c r="M66" s="540">
        <f t="shared" si="19"/>
        <v>0</v>
      </c>
      <c r="N66" s="729"/>
      <c r="O66" s="726"/>
      <c r="P66" s="13"/>
      <c r="Q66" s="329"/>
      <c r="R66" s="13"/>
      <c r="S66" s="13"/>
      <c r="T66" s="13"/>
      <c r="U66" s="13"/>
      <c r="V66" s="13"/>
      <c r="W66" s="13"/>
      <c r="X66" s="13"/>
      <c r="Y66" s="13"/>
      <c r="Z66" s="13"/>
      <c r="AA66" s="13"/>
      <c r="AB66" s="13"/>
      <c r="AC66" s="13"/>
      <c r="AD66" s="13"/>
      <c r="AE66" s="13"/>
      <c r="AF66" s="13"/>
      <c r="AG66" s="13"/>
    </row>
    <row r="67" spans="1:36" s="5" customFormat="1">
      <c r="A67" s="801"/>
      <c r="B67" s="851"/>
      <c r="C67" s="829" t="s">
        <v>163</v>
      </c>
      <c r="D67" s="852">
        <v>0</v>
      </c>
      <c r="E67" s="9"/>
      <c r="F67" s="9"/>
      <c r="G67" s="346">
        <f>VLOOKUP(C67,'Daten Düngemittel'!$B$5:$J$51,3,FALSE)</f>
        <v>0</v>
      </c>
      <c r="H67" s="350">
        <f>VLOOKUP(C67,'Daten Düngemittel'!$B$5:$J$51,4,FALSE)</f>
        <v>0</v>
      </c>
      <c r="I67" s="350">
        <f>VLOOKUP(C67,'Daten Düngemittel'!$B$5:$J$51,5,FALSE)</f>
        <v>0</v>
      </c>
      <c r="J67" s="949">
        <f t="shared" si="20"/>
        <v>0</v>
      </c>
      <c r="K67" s="712">
        <f t="shared" si="17"/>
        <v>0</v>
      </c>
      <c r="L67" s="712">
        <f t="shared" si="18"/>
        <v>0</v>
      </c>
      <c r="M67" s="540">
        <f t="shared" si="19"/>
        <v>0</v>
      </c>
      <c r="N67" s="729"/>
      <c r="O67" s="726"/>
      <c r="P67" s="13"/>
      <c r="R67" s="13"/>
      <c r="S67" s="13"/>
      <c r="T67" s="13"/>
      <c r="U67" s="13"/>
      <c r="V67" s="13"/>
      <c r="W67" s="13"/>
      <c r="X67" s="13"/>
      <c r="Y67" s="13"/>
      <c r="Z67" s="13"/>
      <c r="AA67" s="13"/>
      <c r="AB67" s="13"/>
      <c r="AC67" s="13"/>
      <c r="AD67" s="13"/>
      <c r="AE67" s="13"/>
      <c r="AF67" s="13"/>
      <c r="AG67" s="13"/>
    </row>
    <row r="68" spans="1:36" s="5" customFormat="1">
      <c r="A68" s="801"/>
      <c r="B68" s="851"/>
      <c r="C68" s="829" t="s">
        <v>163</v>
      </c>
      <c r="D68" s="852">
        <v>0</v>
      </c>
      <c r="E68" s="9"/>
      <c r="F68" s="9"/>
      <c r="G68" s="346">
        <f>VLOOKUP(C68,'Daten Düngemittel'!$B$5:$J$51,3,FALSE)</f>
        <v>0</v>
      </c>
      <c r="H68" s="350">
        <f>VLOOKUP(C68,'Daten Düngemittel'!$B$5:$J$51,4,FALSE)</f>
        <v>0</v>
      </c>
      <c r="I68" s="350">
        <f>VLOOKUP(C68,'Daten Düngemittel'!$B$5:$J$51,5,FALSE)</f>
        <v>0</v>
      </c>
      <c r="J68" s="949">
        <f t="shared" si="20"/>
        <v>0</v>
      </c>
      <c r="K68" s="712">
        <f t="shared" si="17"/>
        <v>0</v>
      </c>
      <c r="L68" s="712">
        <f t="shared" si="18"/>
        <v>0</v>
      </c>
      <c r="M68" s="540">
        <f t="shared" si="19"/>
        <v>0</v>
      </c>
      <c r="N68" s="729"/>
      <c r="O68" s="726"/>
      <c r="P68" s="13"/>
      <c r="Q68" s="13"/>
      <c r="R68" s="13"/>
      <c r="S68" s="13"/>
      <c r="T68" s="13"/>
      <c r="U68" s="13"/>
      <c r="V68" s="13"/>
      <c r="W68" s="13"/>
      <c r="X68" s="13"/>
      <c r="Y68" s="13"/>
      <c r="Z68" s="13"/>
      <c r="AA68" s="13"/>
      <c r="AB68" s="13"/>
      <c r="AC68" s="13"/>
      <c r="AD68" s="13"/>
      <c r="AE68" s="13"/>
      <c r="AF68" s="13"/>
      <c r="AG68" s="13"/>
    </row>
    <row r="69" spans="1:36" s="723" customFormat="1" ht="17.25" customHeight="1">
      <c r="A69" s="804"/>
      <c r="C69" s="768" t="s">
        <v>38</v>
      </c>
      <c r="D69" s="768"/>
      <c r="E69" s="768"/>
      <c r="F69" s="768"/>
      <c r="G69" s="768"/>
      <c r="H69" s="768"/>
      <c r="I69" s="768"/>
      <c r="J69" s="945">
        <f>SUM(J55:J68)</f>
        <v>0</v>
      </c>
      <c r="K69" s="770">
        <f>SUM(K55:K68)</f>
        <v>0</v>
      </c>
      <c r="L69" s="770">
        <f t="shared" ref="L69:M69" si="21">SUM(L55:L68)</f>
        <v>0</v>
      </c>
      <c r="M69" s="770">
        <f t="shared" si="21"/>
        <v>0</v>
      </c>
      <c r="N69" s="197"/>
      <c r="O69" s="197"/>
      <c r="P69" s="197"/>
    </row>
    <row r="70" spans="1:36" s="5" customFormat="1">
      <c r="A70" s="801"/>
      <c r="B70" s="13"/>
      <c r="C70" s="353"/>
      <c r="D70" s="353"/>
      <c r="E70" s="345"/>
      <c r="F70" s="358"/>
      <c r="G70" s="358"/>
      <c r="H70" s="358"/>
      <c r="I70" s="345"/>
      <c r="J70" s="353"/>
      <c r="K70" s="359"/>
      <c r="L70" s="359"/>
      <c r="M70" s="359"/>
      <c r="N70" s="355"/>
      <c r="O70" s="356"/>
      <c r="P70" s="356"/>
      <c r="Q70" s="357"/>
      <c r="R70" s="13"/>
      <c r="S70" s="13"/>
      <c r="T70" s="13"/>
      <c r="U70" s="13"/>
      <c r="V70" s="13"/>
      <c r="W70" s="13"/>
      <c r="X70" s="13"/>
      <c r="Y70" s="13"/>
      <c r="Z70" s="13"/>
      <c r="AA70" s="13"/>
      <c r="AB70" s="13"/>
      <c r="AC70" s="13"/>
      <c r="AD70" s="13"/>
      <c r="AE70" s="13"/>
      <c r="AF70" s="13"/>
      <c r="AG70" s="13"/>
      <c r="AH70" s="13"/>
      <c r="AI70" s="13"/>
      <c r="AJ70" s="13"/>
    </row>
    <row r="71" spans="1:36" s="5" customFormat="1">
      <c r="A71" s="801"/>
      <c r="B71" s="13"/>
      <c r="C71" s="353"/>
      <c r="D71" s="353"/>
      <c r="E71" s="353"/>
      <c r="F71" s="353"/>
      <c r="G71" s="353"/>
      <c r="H71" s="353"/>
      <c r="I71" s="345"/>
      <c r="J71" s="345"/>
      <c r="K71" s="353"/>
      <c r="L71" s="353"/>
      <c r="M71" s="353"/>
      <c r="N71" s="286"/>
      <c r="O71" s="117"/>
      <c r="P71" s="360"/>
      <c r="Q71" s="360"/>
      <c r="R71" s="13"/>
      <c r="S71" s="13"/>
      <c r="T71" s="13"/>
      <c r="U71" s="13"/>
      <c r="V71" s="13"/>
      <c r="W71" s="13"/>
      <c r="X71" s="13"/>
      <c r="Y71" s="13"/>
      <c r="Z71" s="13"/>
      <c r="AA71" s="13"/>
      <c r="AB71" s="13"/>
      <c r="AC71" s="13"/>
      <c r="AD71" s="13"/>
      <c r="AE71" s="13"/>
      <c r="AF71" s="13"/>
      <c r="AG71" s="13"/>
      <c r="AH71" s="13"/>
      <c r="AI71" s="13"/>
      <c r="AJ71" s="13"/>
    </row>
    <row r="72" spans="1:36" s="5" customFormat="1">
      <c r="A72" s="805"/>
      <c r="B72" s="13"/>
      <c r="C72" s="354"/>
      <c r="D72" s="354"/>
      <c r="E72" s="354"/>
      <c r="F72" s="345"/>
      <c r="G72" s="345"/>
      <c r="H72" s="345"/>
      <c r="I72" s="345"/>
      <c r="J72" s="345"/>
      <c r="K72" s="345"/>
      <c r="L72" s="345"/>
      <c r="M72" s="345"/>
      <c r="N72" s="361"/>
      <c r="O72" s="361"/>
      <c r="P72" s="361"/>
      <c r="Q72" s="361"/>
      <c r="R72" s="13"/>
      <c r="S72" s="13"/>
      <c r="T72" s="13"/>
      <c r="U72" s="13"/>
      <c r="V72" s="13"/>
      <c r="W72" s="13"/>
      <c r="X72" s="13"/>
      <c r="Y72" s="13"/>
      <c r="Z72" s="13"/>
      <c r="AA72" s="13"/>
      <c r="AB72" s="13"/>
      <c r="AC72" s="13"/>
      <c r="AD72" s="13"/>
      <c r="AE72" s="13"/>
      <c r="AF72" s="13"/>
      <c r="AG72" s="13"/>
      <c r="AH72" s="13"/>
      <c r="AI72" s="13"/>
      <c r="AJ72" s="13"/>
    </row>
    <row r="73" spans="1:36" s="5" customFormat="1">
      <c r="A73" s="801"/>
      <c r="B73" s="13"/>
      <c r="C73" s="354"/>
      <c r="D73" s="354"/>
      <c r="E73" s="354"/>
      <c r="F73" s="345"/>
      <c r="G73" s="345"/>
      <c r="H73" s="345"/>
      <c r="I73" s="345"/>
      <c r="J73" s="345"/>
      <c r="K73" s="345"/>
      <c r="L73" s="345"/>
      <c r="M73" s="345"/>
      <c r="N73" s="361"/>
      <c r="O73" s="361"/>
      <c r="P73" s="361"/>
      <c r="Q73" s="361"/>
      <c r="R73" s="13"/>
      <c r="S73" s="13"/>
      <c r="T73" s="13"/>
      <c r="U73" s="13"/>
      <c r="V73" s="13"/>
      <c r="W73" s="13"/>
      <c r="X73" s="13"/>
      <c r="Y73" s="13"/>
      <c r="Z73" s="13"/>
      <c r="AA73" s="13"/>
      <c r="AB73" s="13"/>
      <c r="AC73" s="13"/>
      <c r="AD73" s="13"/>
      <c r="AE73" s="13"/>
      <c r="AF73" s="13"/>
      <c r="AG73" s="13"/>
      <c r="AH73" s="13"/>
      <c r="AI73" s="13"/>
      <c r="AJ73" s="13"/>
    </row>
    <row r="74" spans="1:36" s="5" customFormat="1">
      <c r="A74" s="801"/>
      <c r="B74" s="13"/>
      <c r="C74" s="362"/>
      <c r="D74" s="362"/>
      <c r="E74" s="354"/>
      <c r="F74" s="345"/>
      <c r="G74" s="345"/>
      <c r="H74" s="345"/>
      <c r="I74" s="345"/>
      <c r="J74" s="345"/>
      <c r="K74" s="345"/>
      <c r="L74" s="345"/>
      <c r="M74" s="345"/>
      <c r="N74" s="361"/>
      <c r="O74" s="361"/>
      <c r="P74" s="361"/>
      <c r="Q74" s="361"/>
      <c r="R74" s="13"/>
      <c r="S74" s="13"/>
      <c r="T74" s="13"/>
      <c r="U74" s="13"/>
      <c r="V74" s="13"/>
      <c r="W74" s="13"/>
      <c r="X74" s="13"/>
      <c r="Y74" s="13"/>
      <c r="Z74" s="13"/>
      <c r="AA74" s="13"/>
      <c r="AB74" s="13"/>
      <c r="AC74" s="13"/>
      <c r="AD74" s="13"/>
      <c r="AE74" s="13"/>
      <c r="AF74" s="13"/>
      <c r="AG74" s="13"/>
      <c r="AH74" s="13"/>
      <c r="AI74" s="13"/>
      <c r="AJ74" s="13"/>
    </row>
    <row r="75" spans="1:36" s="5" customFormat="1">
      <c r="A75" s="801"/>
      <c r="B75" s="13"/>
      <c r="C75" s="362"/>
      <c r="D75" s="362"/>
      <c r="E75" s="354"/>
      <c r="F75" s="345"/>
      <c r="G75" s="345"/>
      <c r="H75" s="345"/>
      <c r="I75" s="345"/>
      <c r="J75" s="345"/>
      <c r="K75" s="345"/>
      <c r="L75" s="345"/>
      <c r="M75" s="345"/>
      <c r="N75" s="361"/>
      <c r="O75" s="361"/>
      <c r="P75" s="361"/>
      <c r="Q75" s="361"/>
      <c r="R75" s="13"/>
      <c r="S75" s="13"/>
      <c r="T75" s="13"/>
      <c r="U75" s="13"/>
      <c r="V75" s="13"/>
      <c r="W75" s="13"/>
      <c r="X75" s="13"/>
      <c r="Y75" s="13"/>
      <c r="Z75" s="13"/>
      <c r="AA75" s="13"/>
      <c r="AB75" s="13"/>
      <c r="AC75" s="13"/>
      <c r="AD75" s="13"/>
      <c r="AE75" s="13"/>
      <c r="AF75" s="13"/>
      <c r="AG75" s="13"/>
      <c r="AH75" s="13"/>
      <c r="AI75" s="13"/>
      <c r="AJ75" s="13"/>
    </row>
    <row r="76" spans="1:36" s="5" customFormat="1">
      <c r="A76" s="801"/>
      <c r="B76" s="13"/>
      <c r="C76" s="354"/>
      <c r="D76" s="354"/>
      <c r="E76" s="354"/>
      <c r="F76" s="345"/>
      <c r="G76" s="345"/>
      <c r="H76" s="345"/>
      <c r="I76" s="345"/>
      <c r="J76" s="345"/>
      <c r="K76" s="345"/>
      <c r="L76" s="345"/>
      <c r="M76" s="345"/>
      <c r="N76" s="361"/>
      <c r="O76" s="361"/>
      <c r="P76" s="361"/>
      <c r="Q76" s="361"/>
      <c r="R76" s="13"/>
      <c r="S76" s="13"/>
      <c r="T76" s="13"/>
      <c r="U76" s="13"/>
      <c r="V76" s="13"/>
      <c r="W76" s="13"/>
      <c r="X76" s="13"/>
      <c r="Y76" s="13"/>
      <c r="Z76" s="13"/>
      <c r="AA76" s="13"/>
      <c r="AB76" s="13"/>
      <c r="AC76" s="13"/>
      <c r="AD76" s="13"/>
      <c r="AE76" s="13"/>
      <c r="AF76" s="13"/>
      <c r="AG76" s="13"/>
      <c r="AH76" s="13"/>
      <c r="AI76" s="13"/>
      <c r="AJ76" s="13"/>
    </row>
    <row r="77" spans="1:36" s="5" customFormat="1" ht="15.75" customHeight="1">
      <c r="A77" s="801"/>
      <c r="B77" s="13"/>
      <c r="C77" s="354"/>
      <c r="D77" s="354"/>
      <c r="E77" s="354"/>
      <c r="F77" s="345"/>
      <c r="G77" s="345"/>
      <c r="H77" s="345"/>
      <c r="I77" s="345"/>
      <c r="J77" s="345"/>
      <c r="K77" s="345"/>
      <c r="L77" s="345"/>
      <c r="M77" s="345"/>
      <c r="N77" s="361"/>
      <c r="O77" s="361"/>
      <c r="P77" s="361"/>
      <c r="Q77" s="361"/>
      <c r="R77" s="13"/>
      <c r="S77" s="13"/>
      <c r="T77" s="13"/>
      <c r="U77" s="13"/>
      <c r="V77" s="13"/>
      <c r="W77" s="13"/>
      <c r="X77" s="13"/>
      <c r="Y77" s="13"/>
      <c r="Z77" s="13"/>
      <c r="AA77" s="13"/>
      <c r="AB77" s="13"/>
      <c r="AC77" s="13"/>
      <c r="AD77" s="13"/>
      <c r="AE77" s="13"/>
      <c r="AF77" s="13"/>
      <c r="AG77" s="13"/>
      <c r="AH77" s="13"/>
      <c r="AI77" s="13"/>
      <c r="AJ77" s="13"/>
    </row>
    <row r="78" spans="1:36" s="5" customFormat="1">
      <c r="A78" s="801"/>
      <c r="B78" s="13"/>
      <c r="C78" s="362"/>
      <c r="D78" s="362"/>
      <c r="E78" s="354"/>
      <c r="F78" s="285"/>
      <c r="G78" s="285"/>
      <c r="H78" s="285"/>
      <c r="I78" s="285"/>
      <c r="J78" s="345"/>
      <c r="K78" s="345"/>
      <c r="L78" s="345"/>
      <c r="M78" s="345"/>
      <c r="N78" s="118"/>
      <c r="O78" s="118"/>
      <c r="P78" s="118"/>
      <c r="Q78" s="361"/>
      <c r="R78" s="13"/>
      <c r="S78" s="13"/>
      <c r="T78" s="13"/>
      <c r="U78" s="13"/>
      <c r="V78" s="13"/>
      <c r="W78" s="13"/>
      <c r="X78" s="13"/>
      <c r="Y78" s="13"/>
      <c r="Z78" s="13"/>
      <c r="AA78" s="13"/>
      <c r="AB78" s="13"/>
      <c r="AC78" s="13"/>
      <c r="AD78" s="13"/>
      <c r="AE78" s="13"/>
      <c r="AF78" s="13"/>
      <c r="AG78" s="13"/>
      <c r="AH78" s="13"/>
      <c r="AI78" s="13"/>
      <c r="AJ78" s="13"/>
    </row>
    <row r="79" spans="1:36" s="5" customFormat="1">
      <c r="A79" s="801"/>
      <c r="B79" s="13"/>
      <c r="C79" s="362"/>
      <c r="D79" s="362"/>
      <c r="E79" s="354"/>
      <c r="F79" s="345"/>
      <c r="G79" s="345"/>
      <c r="H79" s="345"/>
      <c r="I79" s="345"/>
      <c r="J79" s="345"/>
      <c r="K79" s="345"/>
      <c r="L79" s="345"/>
      <c r="M79" s="345"/>
      <c r="N79" s="361"/>
      <c r="O79" s="361"/>
      <c r="P79" s="361"/>
      <c r="Q79" s="361"/>
      <c r="R79" s="13"/>
      <c r="S79" s="13"/>
      <c r="T79" s="13"/>
      <c r="U79" s="13"/>
      <c r="V79" s="13"/>
      <c r="W79" s="13"/>
      <c r="X79" s="13"/>
      <c r="Y79" s="13"/>
      <c r="Z79" s="13"/>
      <c r="AA79" s="13"/>
      <c r="AB79" s="13"/>
      <c r="AC79" s="13"/>
      <c r="AD79" s="13"/>
      <c r="AE79" s="13"/>
      <c r="AF79" s="13"/>
      <c r="AG79" s="13"/>
      <c r="AH79" s="13"/>
      <c r="AI79" s="13"/>
      <c r="AJ79" s="13"/>
    </row>
    <row r="80" spans="1:36" s="5" customFormat="1">
      <c r="A80" s="801"/>
      <c r="B80" s="13"/>
      <c r="C80" s="354"/>
      <c r="D80" s="354"/>
      <c r="E80" s="354"/>
      <c r="F80" s="345"/>
      <c r="G80" s="345"/>
      <c r="H80" s="345"/>
      <c r="I80" s="345"/>
      <c r="J80" s="345"/>
      <c r="K80" s="345"/>
      <c r="L80" s="345"/>
      <c r="M80" s="345"/>
      <c r="N80" s="361"/>
      <c r="O80" s="361"/>
      <c r="P80" s="361"/>
      <c r="Q80" s="361"/>
      <c r="R80" s="13"/>
      <c r="S80" s="13"/>
      <c r="T80" s="13"/>
      <c r="U80" s="13"/>
      <c r="V80" s="13"/>
      <c r="W80" s="13"/>
      <c r="X80" s="13"/>
      <c r="Y80" s="13"/>
      <c r="Z80" s="13"/>
      <c r="AA80" s="13"/>
      <c r="AB80" s="13"/>
      <c r="AC80" s="13"/>
      <c r="AD80" s="13"/>
      <c r="AE80" s="13"/>
      <c r="AF80" s="13"/>
      <c r="AG80" s="13"/>
      <c r="AH80" s="13"/>
      <c r="AI80" s="13"/>
      <c r="AJ80" s="13"/>
    </row>
    <row r="81" spans="1:36" s="5" customFormat="1" ht="15.75" customHeight="1">
      <c r="A81" s="801"/>
      <c r="B81" s="13"/>
      <c r="C81" s="354"/>
      <c r="D81" s="354"/>
      <c r="E81" s="354"/>
      <c r="F81" s="345"/>
      <c r="G81" s="345"/>
      <c r="H81" s="345"/>
      <c r="I81" s="345"/>
      <c r="J81" s="345"/>
      <c r="K81" s="345"/>
      <c r="L81" s="345"/>
      <c r="M81" s="345"/>
      <c r="N81" s="361"/>
      <c r="O81" s="361"/>
      <c r="P81" s="361"/>
      <c r="Q81" s="361"/>
      <c r="R81" s="13"/>
      <c r="S81" s="13"/>
      <c r="T81" s="13"/>
      <c r="U81" s="13"/>
      <c r="V81" s="13"/>
      <c r="W81" s="13"/>
      <c r="X81" s="13"/>
      <c r="Y81" s="13"/>
      <c r="Z81" s="13"/>
      <c r="AA81" s="13"/>
      <c r="AB81" s="13"/>
      <c r="AC81" s="13"/>
      <c r="AD81" s="13"/>
      <c r="AE81" s="13"/>
      <c r="AF81" s="13"/>
      <c r="AG81" s="13"/>
      <c r="AH81" s="13"/>
      <c r="AI81" s="13"/>
      <c r="AJ81" s="13"/>
    </row>
    <row r="82" spans="1:36" s="5" customFormat="1">
      <c r="A82" s="801"/>
      <c r="B82" s="13"/>
      <c r="C82" s="362"/>
      <c r="D82" s="362"/>
      <c r="E82" s="354"/>
      <c r="F82" s="285"/>
      <c r="G82" s="285"/>
      <c r="H82" s="285"/>
      <c r="I82" s="285"/>
      <c r="J82" s="345"/>
      <c r="K82" s="345"/>
      <c r="L82" s="345"/>
      <c r="M82" s="345"/>
      <c r="N82" s="118"/>
      <c r="O82" s="118"/>
      <c r="P82" s="118"/>
      <c r="Q82" s="361"/>
      <c r="R82" s="13"/>
      <c r="S82" s="13"/>
      <c r="T82" s="13"/>
      <c r="U82" s="13"/>
      <c r="V82" s="13"/>
      <c r="W82" s="13"/>
      <c r="X82" s="13"/>
      <c r="Y82" s="13"/>
      <c r="Z82" s="13"/>
      <c r="AA82" s="13"/>
      <c r="AB82" s="13"/>
      <c r="AC82" s="13"/>
      <c r="AD82" s="13"/>
      <c r="AE82" s="13"/>
      <c r="AF82" s="13"/>
      <c r="AG82" s="13"/>
      <c r="AH82" s="13"/>
      <c r="AI82" s="13"/>
      <c r="AJ82" s="13"/>
    </row>
    <row r="83" spans="1:36" s="5" customFormat="1">
      <c r="A83" s="801"/>
      <c r="B83" s="13"/>
      <c r="C83" s="362"/>
      <c r="D83" s="362"/>
      <c r="E83" s="354"/>
      <c r="F83" s="345"/>
      <c r="G83" s="345"/>
      <c r="H83" s="345"/>
      <c r="I83" s="345"/>
      <c r="J83" s="345"/>
      <c r="K83" s="345"/>
      <c r="L83" s="345"/>
      <c r="M83" s="345"/>
      <c r="N83" s="361"/>
      <c r="O83" s="361"/>
      <c r="P83" s="361"/>
      <c r="Q83" s="361"/>
      <c r="R83" s="13"/>
      <c r="S83" s="13"/>
      <c r="T83" s="13"/>
      <c r="U83" s="13"/>
      <c r="V83" s="13"/>
      <c r="W83" s="13"/>
      <c r="X83" s="13"/>
      <c r="Y83" s="13"/>
      <c r="Z83" s="13"/>
      <c r="AA83" s="13"/>
      <c r="AB83" s="13"/>
      <c r="AC83" s="13"/>
      <c r="AD83" s="13"/>
      <c r="AE83" s="13"/>
      <c r="AF83" s="13"/>
      <c r="AG83" s="13"/>
      <c r="AH83" s="13"/>
      <c r="AI83" s="13"/>
      <c r="AJ83" s="13"/>
    </row>
    <row r="84" spans="1:36" s="5" customFormat="1">
      <c r="A84" s="801"/>
      <c r="B84" s="13"/>
      <c r="C84" s="354"/>
      <c r="D84" s="354"/>
      <c r="E84" s="354"/>
      <c r="F84" s="345"/>
      <c r="G84" s="345"/>
      <c r="H84" s="345"/>
      <c r="I84" s="345"/>
      <c r="J84" s="345"/>
      <c r="K84" s="345"/>
      <c r="L84" s="345"/>
      <c r="M84" s="345"/>
      <c r="N84" s="361"/>
      <c r="O84" s="361"/>
      <c r="P84" s="361"/>
      <c r="Q84" s="361"/>
      <c r="R84" s="13"/>
      <c r="S84" s="13"/>
      <c r="T84" s="13"/>
      <c r="U84" s="13"/>
      <c r="V84" s="13"/>
      <c r="W84" s="13"/>
      <c r="X84" s="13"/>
      <c r="Y84" s="13"/>
      <c r="Z84" s="13"/>
      <c r="AA84" s="13"/>
      <c r="AB84" s="13"/>
      <c r="AC84" s="13"/>
      <c r="AD84" s="13"/>
      <c r="AE84" s="13"/>
      <c r="AF84" s="13"/>
      <c r="AG84" s="13"/>
      <c r="AH84" s="13"/>
      <c r="AI84" s="13"/>
      <c r="AJ84" s="13"/>
    </row>
    <row r="85" spans="1:36" s="5" customFormat="1">
      <c r="A85" s="801"/>
      <c r="B85" s="13"/>
      <c r="C85" s="354"/>
      <c r="D85" s="354"/>
      <c r="E85" s="354"/>
      <c r="F85" s="345"/>
      <c r="G85" s="345"/>
      <c r="H85" s="345"/>
      <c r="I85" s="345"/>
      <c r="J85" s="345"/>
      <c r="K85" s="345"/>
      <c r="L85" s="345"/>
      <c r="M85" s="345"/>
      <c r="N85" s="361"/>
      <c r="O85" s="361"/>
      <c r="P85" s="361"/>
      <c r="Q85" s="361"/>
      <c r="R85" s="13"/>
      <c r="S85" s="13"/>
      <c r="T85" s="13"/>
      <c r="U85" s="13"/>
      <c r="V85" s="13"/>
      <c r="W85" s="13"/>
      <c r="X85" s="13"/>
      <c r="Y85" s="13"/>
      <c r="Z85" s="13"/>
      <c r="AA85" s="13"/>
      <c r="AB85" s="13"/>
      <c r="AC85" s="13"/>
      <c r="AD85" s="13"/>
      <c r="AE85" s="13"/>
      <c r="AF85" s="13"/>
      <c r="AG85" s="13"/>
      <c r="AH85" s="13"/>
      <c r="AI85" s="13"/>
      <c r="AJ85" s="13"/>
    </row>
    <row r="86" spans="1:36" s="5" customFormat="1">
      <c r="A86" s="801"/>
      <c r="B86" s="13"/>
      <c r="C86" s="362"/>
      <c r="D86" s="362"/>
      <c r="E86" s="354"/>
      <c r="F86" s="285"/>
      <c r="G86" s="285"/>
      <c r="H86" s="285"/>
      <c r="I86" s="285"/>
      <c r="J86" s="345"/>
      <c r="K86" s="345"/>
      <c r="L86" s="345"/>
      <c r="M86" s="345"/>
      <c r="N86" s="118"/>
      <c r="O86" s="118"/>
      <c r="P86" s="118"/>
      <c r="Q86" s="361"/>
      <c r="R86" s="13"/>
      <c r="S86" s="13"/>
      <c r="T86" s="13"/>
      <c r="U86" s="13"/>
      <c r="V86" s="13"/>
      <c r="W86" s="13"/>
      <c r="X86" s="13"/>
      <c r="Y86" s="13"/>
      <c r="Z86" s="13"/>
      <c r="AA86" s="13"/>
      <c r="AB86" s="13"/>
      <c r="AC86" s="13"/>
      <c r="AD86" s="13"/>
      <c r="AE86" s="13"/>
      <c r="AF86" s="13"/>
      <c r="AG86" s="13"/>
      <c r="AH86" s="13"/>
      <c r="AI86" s="13"/>
      <c r="AJ86" s="13"/>
    </row>
    <row r="87" spans="1:36" s="5" customFormat="1">
      <c r="A87" s="801"/>
      <c r="B87" s="13"/>
      <c r="C87" s="362"/>
      <c r="D87" s="362"/>
      <c r="E87" s="354"/>
      <c r="F87" s="345"/>
      <c r="G87" s="345"/>
      <c r="H87" s="345"/>
      <c r="I87" s="345"/>
      <c r="J87" s="345"/>
      <c r="K87" s="345"/>
      <c r="L87" s="345"/>
      <c r="M87" s="345"/>
      <c r="N87" s="361"/>
      <c r="O87" s="361"/>
      <c r="P87" s="361"/>
      <c r="Q87" s="361"/>
      <c r="R87" s="13"/>
      <c r="S87" s="13"/>
      <c r="T87" s="13"/>
      <c r="U87" s="13"/>
      <c r="V87" s="13"/>
      <c r="W87" s="13"/>
      <c r="X87" s="13"/>
      <c r="Y87" s="13"/>
      <c r="Z87" s="13"/>
      <c r="AA87" s="13"/>
      <c r="AB87" s="13"/>
      <c r="AC87" s="13"/>
      <c r="AD87" s="13"/>
      <c r="AE87" s="13"/>
      <c r="AF87" s="13"/>
      <c r="AG87" s="13"/>
      <c r="AH87" s="13"/>
      <c r="AI87" s="13"/>
      <c r="AJ87" s="13"/>
    </row>
    <row r="88" spans="1:36" s="5" customFormat="1">
      <c r="A88" s="801"/>
      <c r="B88" s="13"/>
      <c r="C88" s="354"/>
      <c r="D88" s="354"/>
      <c r="E88" s="354"/>
      <c r="F88" s="345"/>
      <c r="G88" s="345"/>
      <c r="H88" s="345"/>
      <c r="I88" s="345"/>
      <c r="J88" s="345"/>
      <c r="K88" s="345"/>
      <c r="L88" s="345"/>
      <c r="M88" s="345"/>
      <c r="N88" s="361"/>
      <c r="O88" s="361"/>
      <c r="P88" s="361"/>
      <c r="Q88" s="361"/>
      <c r="R88" s="13"/>
      <c r="S88" s="13"/>
      <c r="T88" s="13"/>
      <c r="U88" s="13"/>
      <c r="V88" s="13"/>
      <c r="W88" s="13"/>
      <c r="X88" s="13"/>
      <c r="Y88" s="13"/>
      <c r="Z88" s="13"/>
      <c r="AA88" s="13"/>
      <c r="AB88" s="13"/>
      <c r="AC88" s="13"/>
      <c r="AD88" s="13"/>
      <c r="AE88" s="13"/>
      <c r="AF88" s="13"/>
      <c r="AG88" s="13"/>
      <c r="AH88" s="13"/>
      <c r="AI88" s="13"/>
      <c r="AJ88" s="13"/>
    </row>
    <row r="89" spans="1:36" s="5" customFormat="1">
      <c r="A89" s="801"/>
      <c r="B89" s="13"/>
      <c r="C89" s="354"/>
      <c r="D89" s="354"/>
      <c r="E89" s="354"/>
      <c r="F89" s="345"/>
      <c r="G89" s="345"/>
      <c r="H89" s="345"/>
      <c r="I89" s="345"/>
      <c r="J89" s="345"/>
      <c r="K89" s="345"/>
      <c r="L89" s="345"/>
      <c r="M89" s="345"/>
      <c r="N89" s="361"/>
      <c r="O89" s="361"/>
      <c r="P89" s="361"/>
      <c r="Q89" s="361"/>
      <c r="R89" s="13"/>
      <c r="S89" s="13"/>
      <c r="T89" s="13"/>
      <c r="U89" s="13"/>
      <c r="V89" s="13"/>
      <c r="W89" s="13"/>
      <c r="X89" s="13"/>
      <c r="Y89" s="13"/>
      <c r="Z89" s="13"/>
      <c r="AA89" s="13"/>
      <c r="AB89" s="13"/>
      <c r="AC89" s="13"/>
      <c r="AD89" s="13"/>
      <c r="AE89" s="13"/>
      <c r="AF89" s="13"/>
      <c r="AG89" s="13"/>
      <c r="AH89" s="13"/>
      <c r="AI89" s="13"/>
      <c r="AJ89" s="13"/>
    </row>
    <row r="90" spans="1:36" s="5" customFormat="1">
      <c r="A90" s="801"/>
      <c r="B90" s="13"/>
      <c r="C90" s="362"/>
      <c r="D90" s="362"/>
      <c r="E90" s="354"/>
      <c r="F90" s="285"/>
      <c r="G90" s="285"/>
      <c r="H90" s="285"/>
      <c r="I90" s="285"/>
      <c r="J90" s="345"/>
      <c r="K90" s="345"/>
      <c r="L90" s="345"/>
      <c r="M90" s="345"/>
      <c r="N90" s="118"/>
      <c r="O90" s="118"/>
      <c r="P90" s="118"/>
      <c r="Q90" s="361"/>
      <c r="R90" s="13"/>
      <c r="S90" s="13"/>
      <c r="T90" s="13"/>
      <c r="U90" s="13"/>
      <c r="V90" s="13"/>
      <c r="W90" s="13"/>
      <c r="X90" s="13"/>
      <c r="Y90" s="13"/>
      <c r="Z90" s="13"/>
      <c r="AA90" s="13"/>
      <c r="AB90" s="13"/>
      <c r="AC90" s="13"/>
      <c r="AD90" s="13"/>
      <c r="AE90" s="13"/>
      <c r="AF90" s="13"/>
      <c r="AG90" s="13"/>
      <c r="AH90" s="13"/>
      <c r="AI90" s="13"/>
      <c r="AJ90" s="13"/>
    </row>
    <row r="91" spans="1:36" s="5" customFormat="1">
      <c r="A91" s="801"/>
      <c r="B91" s="13"/>
      <c r="C91" s="362"/>
      <c r="D91" s="362"/>
      <c r="E91" s="354"/>
      <c r="F91" s="345"/>
      <c r="G91" s="345"/>
      <c r="H91" s="345"/>
      <c r="I91" s="345"/>
      <c r="J91" s="345"/>
      <c r="K91" s="345"/>
      <c r="L91" s="345"/>
      <c r="M91" s="345"/>
      <c r="N91" s="361"/>
      <c r="O91" s="361"/>
      <c r="P91" s="361"/>
      <c r="Q91" s="361"/>
      <c r="R91" s="13"/>
      <c r="S91" s="13"/>
      <c r="T91" s="13"/>
      <c r="U91" s="13"/>
      <c r="V91" s="13"/>
      <c r="W91" s="13"/>
      <c r="X91" s="13"/>
      <c r="Y91" s="13"/>
      <c r="Z91" s="13"/>
      <c r="AA91" s="13"/>
      <c r="AB91" s="13"/>
      <c r="AC91" s="13"/>
      <c r="AD91" s="13"/>
      <c r="AE91" s="13"/>
      <c r="AF91" s="13"/>
      <c r="AG91" s="13"/>
      <c r="AH91" s="13"/>
      <c r="AI91" s="13"/>
      <c r="AJ91" s="13"/>
    </row>
    <row r="92" spans="1:36" s="5" customFormat="1">
      <c r="A92" s="801"/>
      <c r="B92" s="13"/>
      <c r="C92" s="354"/>
      <c r="D92" s="354"/>
      <c r="E92" s="354"/>
      <c r="F92" s="345"/>
      <c r="G92" s="345"/>
      <c r="H92" s="345"/>
      <c r="I92" s="345"/>
      <c r="J92" s="345"/>
      <c r="K92" s="345"/>
      <c r="L92" s="345"/>
      <c r="M92" s="345"/>
      <c r="N92" s="361"/>
      <c r="O92" s="361"/>
      <c r="P92" s="361"/>
      <c r="Q92" s="361"/>
      <c r="R92" s="13"/>
      <c r="S92" s="13"/>
      <c r="T92" s="13"/>
      <c r="U92" s="13"/>
      <c r="V92" s="13"/>
      <c r="W92" s="13"/>
      <c r="X92" s="13"/>
      <c r="Y92" s="13"/>
      <c r="Z92" s="13"/>
      <c r="AA92" s="13"/>
      <c r="AB92" s="13"/>
      <c r="AC92" s="13"/>
      <c r="AD92" s="13"/>
      <c r="AE92" s="13"/>
      <c r="AF92" s="13"/>
      <c r="AG92" s="13"/>
      <c r="AH92" s="13"/>
      <c r="AI92" s="13"/>
      <c r="AJ92" s="13"/>
    </row>
    <row r="93" spans="1:36" s="5" customFormat="1">
      <c r="A93" s="801"/>
      <c r="B93" s="13"/>
      <c r="C93" s="354"/>
      <c r="D93" s="354"/>
      <c r="E93" s="354"/>
      <c r="F93" s="345"/>
      <c r="G93" s="345"/>
      <c r="H93" s="345"/>
      <c r="I93" s="345"/>
      <c r="J93" s="345"/>
      <c r="K93" s="345"/>
      <c r="L93" s="345"/>
      <c r="M93" s="345"/>
      <c r="N93" s="361"/>
      <c r="O93" s="361"/>
      <c r="P93" s="361"/>
      <c r="Q93" s="361"/>
      <c r="R93" s="13"/>
      <c r="S93" s="13"/>
      <c r="T93" s="13"/>
      <c r="U93" s="13"/>
      <c r="V93" s="13"/>
      <c r="W93" s="13"/>
      <c r="X93" s="13"/>
      <c r="Y93" s="13"/>
      <c r="Z93" s="13"/>
      <c r="AA93" s="13"/>
      <c r="AB93" s="13"/>
      <c r="AC93" s="13"/>
      <c r="AD93" s="13"/>
      <c r="AE93" s="13"/>
      <c r="AF93" s="13"/>
      <c r="AG93" s="13"/>
      <c r="AH93" s="13"/>
      <c r="AI93" s="13"/>
      <c r="AJ93" s="13"/>
    </row>
    <row r="94" spans="1:36" s="5" customFormat="1">
      <c r="A94" s="801"/>
      <c r="B94" s="13"/>
      <c r="C94" s="354"/>
      <c r="D94" s="354"/>
      <c r="E94" s="354"/>
      <c r="F94" s="345"/>
      <c r="G94" s="345"/>
      <c r="H94" s="345"/>
      <c r="I94" s="345"/>
      <c r="J94" s="345"/>
      <c r="K94" s="345"/>
      <c r="L94" s="345"/>
      <c r="M94" s="345"/>
      <c r="N94" s="361"/>
      <c r="O94" s="361"/>
      <c r="P94" s="361"/>
      <c r="Q94" s="361"/>
      <c r="R94" s="13"/>
      <c r="S94" s="13"/>
      <c r="T94" s="13"/>
      <c r="U94" s="13"/>
      <c r="V94" s="13"/>
      <c r="W94" s="13"/>
      <c r="X94" s="13"/>
      <c r="Y94" s="13"/>
      <c r="Z94" s="13"/>
      <c r="AA94" s="13"/>
      <c r="AB94" s="13"/>
      <c r="AC94" s="13"/>
      <c r="AD94" s="13"/>
      <c r="AE94" s="13"/>
      <c r="AF94" s="13"/>
      <c r="AG94" s="13"/>
      <c r="AH94" s="13"/>
      <c r="AI94" s="13"/>
      <c r="AJ94" s="13"/>
    </row>
    <row r="95" spans="1:36" s="5" customFormat="1">
      <c r="A95" s="801"/>
      <c r="B95" s="13"/>
      <c r="C95" s="354"/>
      <c r="D95" s="354"/>
      <c r="E95" s="354"/>
      <c r="F95" s="345"/>
      <c r="G95" s="345"/>
      <c r="H95" s="345"/>
      <c r="I95" s="285"/>
      <c r="J95" s="345"/>
      <c r="K95" s="345"/>
      <c r="L95" s="345"/>
      <c r="M95" s="345"/>
      <c r="N95" s="361"/>
      <c r="O95" s="361"/>
      <c r="P95" s="361"/>
      <c r="Q95" s="361"/>
      <c r="R95" s="13"/>
      <c r="S95" s="13"/>
      <c r="T95" s="13"/>
      <c r="U95" s="13"/>
      <c r="V95" s="13"/>
      <c r="W95" s="13"/>
      <c r="X95" s="13"/>
      <c r="Y95" s="13"/>
      <c r="Z95" s="13"/>
      <c r="AA95" s="13"/>
      <c r="AB95" s="13"/>
      <c r="AC95" s="13"/>
      <c r="AD95" s="13"/>
      <c r="AE95" s="13"/>
      <c r="AF95" s="13"/>
      <c r="AG95" s="13"/>
      <c r="AH95" s="13"/>
      <c r="AI95" s="13"/>
      <c r="AJ95" s="13"/>
    </row>
    <row r="96" spans="1:36" s="5" customFormat="1">
      <c r="A96" s="801"/>
      <c r="B96" s="13"/>
      <c r="C96" s="362"/>
      <c r="D96" s="362"/>
      <c r="E96" s="354"/>
      <c r="F96" s="285"/>
      <c r="G96" s="285"/>
      <c r="H96" s="285"/>
      <c r="I96" s="285"/>
      <c r="J96" s="345"/>
      <c r="K96" s="345"/>
      <c r="L96" s="345"/>
      <c r="M96" s="345"/>
      <c r="N96" s="118"/>
      <c r="O96" s="118"/>
      <c r="P96" s="118"/>
      <c r="Q96" s="361"/>
      <c r="R96" s="13"/>
      <c r="S96" s="13"/>
      <c r="T96" s="13"/>
      <c r="U96" s="13"/>
      <c r="V96" s="13"/>
      <c r="W96" s="13"/>
      <c r="X96" s="13"/>
      <c r="Y96" s="13"/>
      <c r="Z96" s="13"/>
      <c r="AA96" s="13"/>
      <c r="AB96" s="13"/>
      <c r="AC96" s="13"/>
      <c r="AD96" s="13"/>
      <c r="AE96" s="13"/>
      <c r="AF96" s="13"/>
      <c r="AG96" s="13"/>
      <c r="AH96" s="13"/>
      <c r="AI96" s="13"/>
      <c r="AJ96" s="13"/>
    </row>
    <row r="97" spans="1:36" s="5" customFormat="1">
      <c r="A97" s="801"/>
      <c r="B97" s="13"/>
      <c r="R97" s="13"/>
      <c r="S97" s="13"/>
      <c r="T97" s="13"/>
      <c r="U97" s="13"/>
      <c r="V97" s="13"/>
      <c r="W97" s="13"/>
      <c r="X97" s="13"/>
      <c r="Y97" s="13"/>
      <c r="Z97" s="13"/>
      <c r="AA97" s="13"/>
      <c r="AB97" s="13"/>
      <c r="AC97" s="13"/>
      <c r="AD97" s="13"/>
      <c r="AE97" s="13"/>
      <c r="AF97" s="13"/>
      <c r="AG97" s="13"/>
      <c r="AH97" s="13"/>
      <c r="AI97" s="13"/>
      <c r="AJ97" s="13"/>
    </row>
    <row r="98" spans="1:36" s="5" customFormat="1">
      <c r="A98" s="801"/>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row>
    <row r="99" spans="1:36" s="5" customFormat="1">
      <c r="A99" s="801"/>
      <c r="B99" s="13"/>
      <c r="C99" s="13"/>
      <c r="D99" s="13"/>
      <c r="E99" s="13"/>
      <c r="F99" s="13"/>
      <c r="G99" s="363"/>
      <c r="H99" s="363"/>
      <c r="I99" s="363"/>
      <c r="J99" s="13"/>
      <c r="K99" s="363"/>
      <c r="L99" s="363"/>
      <c r="M99" s="363"/>
      <c r="N99" s="13"/>
      <c r="O99" s="13"/>
      <c r="P99" s="13"/>
      <c r="Q99" s="13"/>
      <c r="R99" s="13"/>
      <c r="S99" s="13"/>
      <c r="T99" s="13"/>
      <c r="U99" s="13"/>
      <c r="V99" s="13"/>
      <c r="W99" s="13"/>
      <c r="X99" s="13"/>
      <c r="Y99" s="13"/>
      <c r="Z99" s="13"/>
      <c r="AA99" s="13"/>
      <c r="AB99" s="13"/>
      <c r="AC99" s="13"/>
      <c r="AD99" s="13"/>
      <c r="AE99" s="13"/>
      <c r="AF99" s="13"/>
      <c r="AG99" s="13"/>
      <c r="AH99" s="13"/>
      <c r="AI99" s="13"/>
      <c r="AJ99" s="13"/>
    </row>
    <row r="100" spans="1:36" s="5" customFormat="1">
      <c r="A100" s="801"/>
      <c r="B100" s="13"/>
      <c r="C100" s="13"/>
      <c r="D100" s="13"/>
      <c r="E100" s="306"/>
      <c r="F100" s="306"/>
      <c r="G100" s="306"/>
      <c r="H100" s="306"/>
      <c r="I100" s="306"/>
      <c r="J100" s="13"/>
      <c r="K100" s="306"/>
      <c r="L100" s="306"/>
      <c r="M100" s="306"/>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row>
    <row r="101" spans="1:36" s="5" customFormat="1">
      <c r="A101" s="801"/>
      <c r="B101" s="13"/>
      <c r="C101" s="13"/>
      <c r="D101" s="13"/>
      <c r="E101" s="13"/>
      <c r="F101" s="13"/>
      <c r="G101" s="13"/>
      <c r="H101" s="13"/>
      <c r="I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row>
    <row r="102" spans="1:36" s="5" customFormat="1">
      <c r="A102" s="801"/>
      <c r="B102" s="13"/>
      <c r="C102" s="13"/>
      <c r="D102" s="13"/>
      <c r="E102" s="13"/>
      <c r="F102" s="13"/>
      <c r="G102" s="13"/>
      <c r="H102" s="13"/>
      <c r="I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row>
    <row r="103" spans="1:36" s="5" customFormat="1">
      <c r="A103" s="801"/>
      <c r="B103" s="13"/>
      <c r="C103" s="13"/>
      <c r="D103" s="13"/>
      <c r="E103" s="13"/>
      <c r="F103" s="13"/>
      <c r="G103" s="13"/>
      <c r="H103" s="13"/>
      <c r="I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row>
    <row r="104" spans="1:36" s="5" customFormat="1">
      <c r="A104" s="801"/>
      <c r="B104" s="13"/>
      <c r="C104" s="13"/>
      <c r="D104" s="13"/>
      <c r="E104" s="13"/>
      <c r="F104" s="13"/>
      <c r="G104" s="13"/>
      <c r="H104" s="13"/>
      <c r="I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row>
    <row r="105" spans="1:36" s="5" customFormat="1">
      <c r="A105" s="801"/>
      <c r="B105" s="13"/>
      <c r="C105" s="13"/>
      <c r="D105" s="13"/>
      <c r="E105" s="13"/>
      <c r="F105" s="13"/>
      <c r="G105" s="13"/>
      <c r="H105" s="13"/>
      <c r="I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row>
    <row r="106" spans="1:36" s="5" customFormat="1">
      <c r="A106" s="801"/>
      <c r="B106" s="13"/>
      <c r="C106" s="13"/>
      <c r="D106" s="13"/>
      <c r="E106" s="13"/>
      <c r="F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row>
    <row r="107" spans="1:36" s="5" customFormat="1">
      <c r="A107" s="801"/>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row>
    <row r="108" spans="1:36" s="5" customFormat="1">
      <c r="A108" s="801"/>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row>
    <row r="109" spans="1:36" s="5" customFormat="1">
      <c r="A109" s="801"/>
      <c r="B109" s="13"/>
      <c r="C109" s="13"/>
      <c r="D109" s="13"/>
      <c r="J109" s="364"/>
      <c r="L109" s="364"/>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row>
    <row r="110" spans="1:36" s="5" customFormat="1">
      <c r="A110" s="801"/>
      <c r="B110" s="13"/>
      <c r="C110" s="13"/>
      <c r="D110" s="13"/>
      <c r="E110" s="13"/>
      <c r="F110" s="13"/>
      <c r="G110" s="363"/>
      <c r="H110" s="363"/>
      <c r="I110" s="363"/>
      <c r="J110" s="13"/>
      <c r="K110" s="363"/>
      <c r="L110" s="363"/>
      <c r="M110" s="363"/>
      <c r="N110" s="365"/>
      <c r="O110" s="1336"/>
      <c r="P110" s="13"/>
      <c r="Q110" s="13"/>
      <c r="R110" s="13"/>
      <c r="S110" s="13"/>
      <c r="T110" s="13"/>
      <c r="U110" s="13"/>
      <c r="V110" s="13"/>
      <c r="W110" s="13"/>
      <c r="X110" s="13"/>
      <c r="Y110" s="13"/>
      <c r="Z110" s="13"/>
      <c r="AA110" s="13"/>
      <c r="AB110" s="13"/>
      <c r="AC110" s="13"/>
      <c r="AD110" s="13"/>
      <c r="AE110" s="13"/>
      <c r="AF110" s="13"/>
      <c r="AG110" s="13"/>
      <c r="AH110" s="13"/>
      <c r="AI110" s="13"/>
      <c r="AJ110" s="13"/>
    </row>
    <row r="111" spans="1:36" s="5" customFormat="1">
      <c r="A111" s="801"/>
      <c r="B111" s="13"/>
      <c r="C111" s="13"/>
      <c r="D111" s="13"/>
      <c r="E111" s="306"/>
      <c r="F111" s="306"/>
      <c r="G111" s="306"/>
      <c r="H111" s="306"/>
      <c r="I111" s="306"/>
      <c r="J111" s="306"/>
      <c r="K111" s="306"/>
      <c r="L111" s="306"/>
      <c r="M111" s="306"/>
      <c r="N111" s="365"/>
      <c r="O111" s="1336"/>
      <c r="P111" s="13"/>
      <c r="Q111" s="13"/>
      <c r="R111" s="13"/>
      <c r="S111" s="13"/>
      <c r="T111" s="13"/>
      <c r="U111" s="13"/>
      <c r="V111" s="13"/>
      <c r="W111" s="13"/>
      <c r="X111" s="13"/>
      <c r="Y111" s="13"/>
      <c r="Z111" s="13"/>
      <c r="AA111" s="13"/>
      <c r="AB111" s="13"/>
      <c r="AC111" s="13"/>
      <c r="AD111" s="13"/>
      <c r="AE111" s="13"/>
      <c r="AF111" s="13"/>
      <c r="AG111" s="13"/>
      <c r="AH111" s="13"/>
      <c r="AI111" s="13"/>
      <c r="AJ111" s="13"/>
    </row>
    <row r="112" spans="1:36" s="5" customFormat="1">
      <c r="A112" s="801"/>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row>
    <row r="113" spans="1:36" s="5" customFormat="1">
      <c r="A113" s="801"/>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row>
    <row r="114" spans="1:36" s="5" customFormat="1">
      <c r="A114" s="801"/>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row>
    <row r="115" spans="1:36" s="5" customFormat="1">
      <c r="A115" s="801"/>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row>
    <row r="116" spans="1:36" s="5" customFormat="1">
      <c r="A116" s="801"/>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row>
    <row r="117" spans="1:36" s="5" customFormat="1">
      <c r="A117" s="801"/>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row>
    <row r="118" spans="1:36" s="5" customFormat="1">
      <c r="A118" s="801"/>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row>
    <row r="119" spans="1:36" s="5" customFormat="1">
      <c r="A119" s="801"/>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row>
    <row r="120" spans="1:36" s="5" customFormat="1">
      <c r="A120" s="801"/>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row>
    <row r="121" spans="1:36" s="5" customFormat="1">
      <c r="A121" s="801"/>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row>
    <row r="122" spans="1:36" s="5" customFormat="1">
      <c r="A122" s="801"/>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row>
    <row r="123" spans="1:36" s="5" customFormat="1">
      <c r="A123" s="801"/>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row>
    <row r="124" spans="1:36" s="5" customFormat="1">
      <c r="A124" s="801"/>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row>
    <row r="125" spans="1:36" s="5" customFormat="1">
      <c r="A125" s="801"/>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row>
    <row r="126" spans="1:36" s="5" customFormat="1">
      <c r="A126" s="801"/>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row>
    <row r="127" spans="1:36" s="5" customFormat="1">
      <c r="A127" s="801"/>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row>
    <row r="128" spans="1:36" s="5" customFormat="1">
      <c r="A128" s="801"/>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row>
    <row r="129" spans="1:36" s="5" customFormat="1">
      <c r="A129" s="801"/>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row>
    <row r="130" spans="1:36" s="5" customFormat="1">
      <c r="A130" s="801"/>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row>
    <row r="131" spans="1:36" s="5" customFormat="1">
      <c r="A131" s="801"/>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row>
    <row r="132" spans="1:36" s="5" customFormat="1">
      <c r="A132" s="801"/>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row>
    <row r="133" spans="1:36" s="5" customFormat="1">
      <c r="A133" s="801"/>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row>
    <row r="134" spans="1:36" s="5" customFormat="1">
      <c r="A134" s="801"/>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row>
    <row r="135" spans="1:36" s="5" customFormat="1">
      <c r="A135" s="801"/>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row>
    <row r="136" spans="1:36" s="5" customFormat="1">
      <c r="A136" s="801"/>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row>
    <row r="137" spans="1:36" s="5" customFormat="1">
      <c r="A137" s="801"/>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row>
    <row r="138" spans="1:36" s="5" customFormat="1">
      <c r="A138" s="801"/>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row>
    <row r="139" spans="1:36" s="5" customFormat="1">
      <c r="A139" s="801"/>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row>
    <row r="140" spans="1:36" s="5" customFormat="1">
      <c r="A140" s="801"/>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row>
    <row r="141" spans="1:36" s="5" customFormat="1">
      <c r="A141" s="801"/>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row>
    <row r="142" spans="1:36" s="5" customFormat="1">
      <c r="A142" s="801"/>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row>
    <row r="143" spans="1:36" s="5" customFormat="1">
      <c r="A143" s="801"/>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row>
    <row r="144" spans="1:36" s="5" customFormat="1">
      <c r="A144" s="801"/>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row>
    <row r="145" spans="1:36" s="5" customFormat="1">
      <c r="A145" s="801"/>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row>
    <row r="146" spans="1:36" s="5" customFormat="1">
      <c r="A146" s="801"/>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row>
    <row r="147" spans="1:36" s="5" customFormat="1">
      <c r="A147" s="801"/>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row>
    <row r="148" spans="1:36" s="5" customFormat="1">
      <c r="A148" s="801"/>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row>
    <row r="149" spans="1:36" s="5" customFormat="1" ht="15.75">
      <c r="A149" s="801"/>
      <c r="B149" s="339"/>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row>
    <row r="150" spans="1:36" s="5" customFormat="1" ht="15.75">
      <c r="A150" s="801"/>
      <c r="B150" s="339"/>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row>
    <row r="151" spans="1:36" s="5" customFormat="1" ht="15.75">
      <c r="A151" s="801"/>
      <c r="B151" s="339"/>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row>
    <row r="152" spans="1:36" s="5" customFormat="1" ht="15.75">
      <c r="A152" s="801"/>
      <c r="B152" s="339"/>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row>
    <row r="153" spans="1:36" s="5" customFormat="1" ht="15.75">
      <c r="A153" s="801"/>
      <c r="B153" s="339"/>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row>
    <row r="154" spans="1:36" s="5" customFormat="1" ht="15.75">
      <c r="A154" s="801"/>
      <c r="B154" s="339"/>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row>
    <row r="155" spans="1:36" s="5" customFormat="1" ht="15.75">
      <c r="A155" s="801"/>
      <c r="B155" s="339"/>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row>
    <row r="156" spans="1:36" s="5" customFormat="1" ht="15.75">
      <c r="A156" s="801"/>
      <c r="B156" s="339"/>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row>
    <row r="157" spans="1:36" s="5" customFormat="1" ht="15.75">
      <c r="A157" s="801"/>
      <c r="B157" s="339"/>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row>
    <row r="158" spans="1:36" s="5" customFormat="1" ht="15.75">
      <c r="A158" s="801"/>
      <c r="B158" s="339"/>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row>
    <row r="159" spans="1:36" ht="15.75">
      <c r="A159" s="797"/>
      <c r="B159" s="339"/>
      <c r="C159" s="42"/>
      <c r="D159" s="282"/>
      <c r="E159" s="42"/>
      <c r="F159" s="42"/>
      <c r="G159" s="42"/>
      <c r="H159" s="42"/>
      <c r="I159" s="42"/>
      <c r="J159" s="42"/>
      <c r="K159" s="42"/>
      <c r="L159" s="42"/>
      <c r="M159" s="42"/>
      <c r="N159" s="282"/>
      <c r="O159" s="42"/>
      <c r="P159" s="42"/>
      <c r="Q159" s="42"/>
      <c r="R159" s="42"/>
      <c r="S159" s="42"/>
      <c r="T159" s="42"/>
      <c r="U159" s="42"/>
      <c r="V159" s="42"/>
      <c r="W159" s="42"/>
      <c r="X159" s="42"/>
      <c r="Y159" s="42"/>
      <c r="Z159" s="42"/>
      <c r="AA159" s="42"/>
      <c r="AB159" s="42"/>
      <c r="AC159" s="42"/>
      <c r="AD159" s="42"/>
      <c r="AE159" s="42"/>
      <c r="AF159" s="42"/>
      <c r="AG159" s="42"/>
      <c r="AH159" s="42"/>
      <c r="AI159" s="42"/>
      <c r="AJ159" s="42"/>
    </row>
    <row r="160" spans="1:36" ht="15.75">
      <c r="A160" s="797"/>
      <c r="B160" s="339"/>
      <c r="C160" s="42"/>
      <c r="D160" s="282"/>
      <c r="E160" s="42"/>
      <c r="F160" s="42"/>
      <c r="G160" s="42"/>
      <c r="H160" s="42"/>
      <c r="I160" s="42"/>
      <c r="J160" s="42"/>
      <c r="K160" s="42"/>
      <c r="L160" s="42"/>
      <c r="M160" s="42"/>
      <c r="N160" s="282"/>
      <c r="O160" s="42"/>
      <c r="P160" s="42"/>
      <c r="Q160" s="42"/>
      <c r="R160" s="42"/>
      <c r="S160" s="42"/>
      <c r="T160" s="42"/>
      <c r="U160" s="42"/>
      <c r="V160" s="42"/>
      <c r="W160" s="42"/>
      <c r="X160" s="42"/>
      <c r="Y160" s="42"/>
      <c r="Z160" s="42"/>
      <c r="AA160" s="42"/>
      <c r="AB160" s="42"/>
      <c r="AC160" s="42"/>
      <c r="AD160" s="42"/>
      <c r="AE160" s="42"/>
      <c r="AF160" s="42"/>
      <c r="AG160" s="42"/>
      <c r="AH160" s="42"/>
      <c r="AI160" s="42"/>
      <c r="AJ160" s="42"/>
    </row>
    <row r="161" spans="1:36" ht="15.75">
      <c r="A161" s="797"/>
      <c r="B161" s="339"/>
      <c r="C161" s="42"/>
      <c r="D161" s="282"/>
      <c r="E161" s="42"/>
      <c r="F161" s="42"/>
      <c r="G161" s="42"/>
      <c r="H161" s="42"/>
      <c r="I161" s="42"/>
      <c r="J161" s="42"/>
      <c r="K161" s="42"/>
      <c r="L161" s="42"/>
      <c r="M161" s="42"/>
      <c r="N161" s="282"/>
      <c r="O161" s="42"/>
      <c r="P161" s="42"/>
      <c r="Q161" s="42"/>
      <c r="R161" s="42"/>
      <c r="S161" s="42"/>
      <c r="T161" s="42"/>
      <c r="U161" s="42"/>
      <c r="V161" s="42"/>
      <c r="W161" s="42"/>
      <c r="X161" s="42"/>
      <c r="Y161" s="42"/>
      <c r="Z161" s="42"/>
      <c r="AA161" s="42"/>
      <c r="AB161" s="42"/>
      <c r="AC161" s="42"/>
      <c r="AD161" s="42"/>
      <c r="AE161" s="42"/>
      <c r="AF161" s="42"/>
      <c r="AG161" s="42"/>
      <c r="AH161" s="42"/>
      <c r="AI161" s="42"/>
      <c r="AJ161" s="42"/>
    </row>
    <row r="162" spans="1:36" ht="15.75">
      <c r="A162" s="797"/>
      <c r="B162" s="339"/>
      <c r="C162" s="42"/>
      <c r="D162" s="282"/>
      <c r="E162" s="42"/>
      <c r="F162" s="42"/>
      <c r="G162" s="42"/>
      <c r="H162" s="42"/>
      <c r="I162" s="42"/>
      <c r="J162" s="42"/>
      <c r="K162" s="42"/>
      <c r="L162" s="42"/>
      <c r="M162" s="42"/>
      <c r="N162" s="282"/>
      <c r="O162" s="42"/>
      <c r="P162" s="42"/>
      <c r="Q162" s="42"/>
      <c r="R162" s="42"/>
      <c r="S162" s="42"/>
      <c r="T162" s="42"/>
      <c r="U162" s="42"/>
      <c r="V162" s="42"/>
      <c r="W162" s="42"/>
      <c r="X162" s="42"/>
      <c r="Y162" s="42"/>
      <c r="Z162" s="42"/>
      <c r="AA162" s="42"/>
      <c r="AB162" s="42"/>
      <c r="AC162" s="42"/>
      <c r="AD162" s="42"/>
      <c r="AE162" s="42"/>
      <c r="AF162" s="42"/>
      <c r="AG162" s="42"/>
      <c r="AH162" s="42"/>
      <c r="AI162" s="42"/>
      <c r="AJ162" s="42"/>
    </row>
    <row r="163" spans="1:36" ht="15.75">
      <c r="A163" s="797"/>
      <c r="B163" s="339"/>
      <c r="C163" s="42"/>
      <c r="D163" s="282"/>
      <c r="E163" s="42"/>
      <c r="F163" s="42"/>
      <c r="G163" s="42"/>
      <c r="H163" s="42"/>
      <c r="I163" s="42"/>
      <c r="J163" s="42"/>
      <c r="K163" s="42"/>
      <c r="L163" s="42"/>
      <c r="M163" s="42"/>
      <c r="N163" s="282"/>
      <c r="O163" s="42"/>
      <c r="P163" s="42"/>
      <c r="Q163" s="42"/>
      <c r="R163" s="42"/>
      <c r="S163" s="42"/>
      <c r="T163" s="42"/>
      <c r="U163" s="42"/>
      <c r="V163" s="42"/>
      <c r="W163" s="42"/>
      <c r="X163" s="42"/>
      <c r="Y163" s="42"/>
      <c r="Z163" s="42"/>
      <c r="AA163" s="42"/>
      <c r="AB163" s="42"/>
      <c r="AC163" s="42"/>
      <c r="AD163" s="42"/>
      <c r="AE163" s="42"/>
      <c r="AF163" s="42"/>
      <c r="AG163" s="42"/>
      <c r="AH163" s="42"/>
      <c r="AI163" s="42"/>
      <c r="AJ163" s="42"/>
    </row>
    <row r="164" spans="1:36" ht="15.75">
      <c r="A164" s="797"/>
      <c r="B164" s="339"/>
      <c r="C164" s="42"/>
      <c r="D164" s="282"/>
      <c r="E164" s="42"/>
      <c r="F164" s="42"/>
      <c r="G164" s="42"/>
      <c r="H164" s="42"/>
      <c r="I164" s="42"/>
      <c r="J164" s="42"/>
      <c r="K164" s="42"/>
      <c r="L164" s="42"/>
      <c r="M164" s="42"/>
      <c r="N164" s="282"/>
      <c r="O164" s="42"/>
      <c r="P164" s="42"/>
      <c r="Q164" s="42"/>
      <c r="R164" s="42"/>
      <c r="S164" s="42"/>
      <c r="T164" s="42"/>
      <c r="U164" s="42"/>
      <c r="V164" s="42"/>
      <c r="W164" s="42"/>
      <c r="X164" s="42"/>
      <c r="Y164" s="42"/>
      <c r="Z164" s="42"/>
      <c r="AA164" s="42"/>
      <c r="AB164" s="42"/>
      <c r="AC164" s="42"/>
      <c r="AD164" s="42"/>
      <c r="AE164" s="42"/>
      <c r="AF164" s="42"/>
      <c r="AG164" s="42"/>
      <c r="AH164" s="42"/>
      <c r="AI164" s="42"/>
      <c r="AJ164" s="42"/>
    </row>
    <row r="165" spans="1:36" ht="15.75">
      <c r="A165" s="797"/>
      <c r="B165" s="339"/>
      <c r="C165" s="42"/>
      <c r="D165" s="282"/>
      <c r="E165" s="42"/>
      <c r="F165" s="42"/>
      <c r="G165" s="42"/>
      <c r="H165" s="42"/>
      <c r="I165" s="42"/>
      <c r="J165" s="42"/>
      <c r="K165" s="42"/>
      <c r="L165" s="42"/>
      <c r="M165" s="42"/>
      <c r="N165" s="282"/>
      <c r="O165" s="42"/>
      <c r="P165" s="42"/>
      <c r="Q165" s="42"/>
      <c r="R165" s="42"/>
      <c r="S165" s="42"/>
      <c r="T165" s="42"/>
      <c r="U165" s="42"/>
      <c r="V165" s="42"/>
      <c r="W165" s="42"/>
      <c r="X165" s="42"/>
      <c r="Y165" s="42"/>
      <c r="Z165" s="42"/>
      <c r="AA165" s="42"/>
      <c r="AB165" s="42"/>
      <c r="AC165" s="42"/>
      <c r="AD165" s="42"/>
      <c r="AE165" s="42"/>
      <c r="AF165" s="42"/>
      <c r="AG165" s="42"/>
      <c r="AH165" s="42"/>
      <c r="AI165" s="42"/>
      <c r="AJ165" s="42"/>
    </row>
    <row r="166" spans="1:36" ht="15.75">
      <c r="A166" s="797"/>
      <c r="B166" s="339"/>
      <c r="C166" s="42"/>
      <c r="D166" s="282"/>
      <c r="E166" s="42"/>
      <c r="F166" s="42"/>
      <c r="G166" s="42"/>
      <c r="H166" s="42"/>
      <c r="I166" s="42"/>
      <c r="J166" s="42"/>
      <c r="K166" s="42"/>
      <c r="L166" s="42"/>
      <c r="M166" s="42"/>
      <c r="N166" s="282"/>
      <c r="O166" s="42"/>
      <c r="P166" s="42"/>
      <c r="Q166" s="42"/>
      <c r="R166" s="42"/>
      <c r="S166" s="42"/>
      <c r="T166" s="42"/>
      <c r="U166" s="42"/>
      <c r="V166" s="42"/>
      <c r="W166" s="42"/>
      <c r="X166" s="42"/>
      <c r="Y166" s="42"/>
      <c r="Z166" s="42"/>
      <c r="AA166" s="42"/>
      <c r="AB166" s="42"/>
      <c r="AC166" s="42"/>
      <c r="AD166" s="42"/>
      <c r="AE166" s="42"/>
      <c r="AF166" s="42"/>
      <c r="AG166" s="42"/>
      <c r="AH166" s="42"/>
      <c r="AI166" s="42"/>
      <c r="AJ166" s="42"/>
    </row>
    <row r="167" spans="1:36" ht="15.75">
      <c r="A167" s="797"/>
      <c r="B167" s="339"/>
      <c r="C167" s="42"/>
      <c r="D167" s="282"/>
      <c r="E167" s="42"/>
      <c r="F167" s="42"/>
      <c r="G167" s="42"/>
      <c r="H167" s="42"/>
      <c r="I167" s="42"/>
      <c r="J167" s="42"/>
      <c r="K167" s="42"/>
      <c r="L167" s="42"/>
      <c r="M167" s="42"/>
      <c r="N167" s="282"/>
      <c r="O167" s="42"/>
      <c r="P167" s="42"/>
      <c r="Q167" s="42"/>
      <c r="R167" s="42"/>
      <c r="S167" s="42"/>
      <c r="T167" s="42"/>
      <c r="U167" s="42"/>
      <c r="V167" s="42"/>
      <c r="W167" s="42"/>
      <c r="X167" s="42"/>
      <c r="Y167" s="42"/>
      <c r="Z167" s="42"/>
      <c r="AA167" s="42"/>
      <c r="AB167" s="42"/>
      <c r="AC167" s="42"/>
      <c r="AD167" s="42"/>
      <c r="AE167" s="42"/>
      <c r="AF167" s="42"/>
      <c r="AG167" s="42"/>
      <c r="AH167" s="42"/>
      <c r="AI167" s="42"/>
      <c r="AJ167" s="42"/>
    </row>
    <row r="168" spans="1:36" ht="15.75">
      <c r="A168" s="797"/>
      <c r="B168" s="339"/>
      <c r="C168" s="42"/>
      <c r="D168" s="282"/>
      <c r="E168" s="42"/>
      <c r="F168" s="42"/>
      <c r="G168" s="42"/>
      <c r="H168" s="42"/>
      <c r="I168" s="42"/>
      <c r="J168" s="42"/>
      <c r="K168" s="42"/>
      <c r="L168" s="42"/>
      <c r="M168" s="42"/>
      <c r="N168" s="282"/>
      <c r="O168" s="42"/>
      <c r="P168" s="42"/>
      <c r="Q168" s="42"/>
      <c r="R168" s="42"/>
      <c r="S168" s="42"/>
      <c r="T168" s="42"/>
      <c r="U168" s="42"/>
      <c r="V168" s="42"/>
      <c r="W168" s="42"/>
      <c r="X168" s="42"/>
      <c r="Y168" s="42"/>
      <c r="Z168" s="42"/>
      <c r="AA168" s="42"/>
      <c r="AB168" s="42"/>
      <c r="AC168" s="42"/>
      <c r="AD168" s="42"/>
      <c r="AE168" s="42"/>
      <c r="AF168" s="42"/>
      <c r="AG168" s="42"/>
      <c r="AH168" s="42"/>
      <c r="AI168" s="42"/>
      <c r="AJ168" s="42"/>
    </row>
    <row r="169" spans="1:36" ht="15.75">
      <c r="A169" s="797"/>
      <c r="B169" s="339"/>
      <c r="C169" s="42"/>
      <c r="D169" s="282"/>
      <c r="E169" s="42"/>
      <c r="F169" s="42"/>
      <c r="G169" s="42"/>
      <c r="H169" s="42"/>
      <c r="I169" s="42"/>
      <c r="J169" s="42"/>
      <c r="K169" s="42"/>
      <c r="L169" s="42"/>
      <c r="M169" s="42"/>
      <c r="N169" s="282"/>
      <c r="O169" s="42"/>
      <c r="P169" s="42"/>
      <c r="Q169" s="42"/>
      <c r="R169" s="42"/>
      <c r="S169" s="42"/>
      <c r="T169" s="42"/>
      <c r="U169" s="42"/>
      <c r="V169" s="42"/>
      <c r="W169" s="42"/>
      <c r="X169" s="42"/>
      <c r="Y169" s="42"/>
      <c r="Z169" s="42"/>
      <c r="AA169" s="42"/>
      <c r="AB169" s="42"/>
      <c r="AC169" s="42"/>
      <c r="AD169" s="42"/>
      <c r="AE169" s="42"/>
      <c r="AF169" s="42"/>
      <c r="AG169" s="42"/>
      <c r="AH169" s="42"/>
      <c r="AI169" s="42"/>
      <c r="AJ169" s="42"/>
    </row>
    <row r="170" spans="1:36" ht="15.75">
      <c r="A170" s="797"/>
      <c r="B170" s="339"/>
      <c r="C170" s="42"/>
      <c r="D170" s="282"/>
      <c r="E170" s="42"/>
      <c r="F170" s="42"/>
      <c r="G170" s="42"/>
      <c r="H170" s="42"/>
      <c r="I170" s="42"/>
      <c r="J170" s="42"/>
      <c r="K170" s="42"/>
      <c r="L170" s="42"/>
      <c r="M170" s="42"/>
      <c r="N170" s="282"/>
      <c r="O170" s="42"/>
      <c r="P170" s="42"/>
      <c r="Q170" s="42"/>
      <c r="R170" s="42"/>
      <c r="S170" s="42"/>
      <c r="T170" s="42"/>
      <c r="U170" s="42"/>
      <c r="V170" s="42"/>
      <c r="W170" s="42"/>
      <c r="X170" s="42"/>
      <c r="Y170" s="42"/>
      <c r="Z170" s="42"/>
      <c r="AA170" s="42"/>
      <c r="AB170" s="42"/>
      <c r="AC170" s="42"/>
      <c r="AD170" s="42"/>
      <c r="AE170" s="42"/>
      <c r="AF170" s="42"/>
      <c r="AG170" s="42"/>
      <c r="AH170" s="42"/>
      <c r="AI170" s="42"/>
      <c r="AJ170" s="42"/>
    </row>
    <row r="171" spans="1:36" ht="15.75">
      <c r="A171" s="797"/>
      <c r="B171" s="339"/>
      <c r="C171" s="42"/>
      <c r="D171" s="282"/>
      <c r="E171" s="42"/>
      <c r="F171" s="42"/>
      <c r="G171" s="42"/>
      <c r="H171" s="42"/>
      <c r="I171" s="42"/>
      <c r="J171" s="42"/>
      <c r="K171" s="42"/>
      <c r="L171" s="42"/>
      <c r="M171" s="42"/>
      <c r="N171" s="282"/>
      <c r="O171" s="42"/>
      <c r="P171" s="42"/>
      <c r="Q171" s="42"/>
      <c r="R171" s="42"/>
      <c r="S171" s="42"/>
      <c r="T171" s="42"/>
      <c r="U171" s="42"/>
      <c r="V171" s="42"/>
      <c r="W171" s="42"/>
      <c r="X171" s="42"/>
      <c r="Y171" s="42"/>
      <c r="Z171" s="42"/>
      <c r="AA171" s="42"/>
      <c r="AB171" s="42"/>
      <c r="AC171" s="42"/>
      <c r="AD171" s="42"/>
      <c r="AE171" s="42"/>
      <c r="AF171" s="42"/>
      <c r="AG171" s="42"/>
      <c r="AH171" s="42"/>
      <c r="AI171" s="42"/>
      <c r="AJ171" s="42"/>
    </row>
    <row r="172" spans="1:36" ht="15.75">
      <c r="A172" s="797"/>
      <c r="B172" s="339"/>
      <c r="C172" s="42"/>
      <c r="D172" s="282"/>
      <c r="E172" s="42"/>
      <c r="F172" s="42"/>
      <c r="G172" s="42"/>
      <c r="H172" s="42"/>
      <c r="I172" s="42"/>
      <c r="J172" s="42"/>
      <c r="K172" s="42"/>
      <c r="L172" s="42"/>
      <c r="M172" s="42"/>
      <c r="N172" s="282"/>
      <c r="O172" s="42"/>
      <c r="P172" s="42"/>
      <c r="Q172" s="42"/>
      <c r="R172" s="42"/>
      <c r="S172" s="42"/>
      <c r="T172" s="42"/>
      <c r="U172" s="42"/>
      <c r="V172" s="42"/>
      <c r="W172" s="42"/>
      <c r="X172" s="42"/>
      <c r="Y172" s="42"/>
      <c r="Z172" s="42"/>
      <c r="AA172" s="42"/>
      <c r="AB172" s="42"/>
      <c r="AC172" s="42"/>
      <c r="AD172" s="42"/>
      <c r="AE172" s="42"/>
      <c r="AF172" s="42"/>
      <c r="AG172" s="42"/>
      <c r="AH172" s="42"/>
      <c r="AI172" s="42"/>
      <c r="AJ172" s="42"/>
    </row>
    <row r="173" spans="1:36" ht="15.75">
      <c r="A173" s="797"/>
      <c r="B173" s="339"/>
      <c r="C173" s="42"/>
      <c r="D173" s="282"/>
      <c r="E173" s="42"/>
      <c r="F173" s="42"/>
      <c r="G173" s="42"/>
      <c r="H173" s="42"/>
      <c r="I173" s="42"/>
      <c r="J173" s="42"/>
      <c r="K173" s="42"/>
      <c r="L173" s="42"/>
      <c r="M173" s="42"/>
      <c r="N173" s="282"/>
      <c r="O173" s="42"/>
      <c r="P173" s="42"/>
      <c r="Q173" s="42"/>
      <c r="R173" s="42"/>
      <c r="S173" s="42"/>
      <c r="T173" s="42"/>
      <c r="U173" s="42"/>
      <c r="V173" s="42"/>
      <c r="W173" s="42"/>
      <c r="X173" s="42"/>
      <c r="Y173" s="42"/>
      <c r="Z173" s="42"/>
      <c r="AA173" s="42"/>
      <c r="AB173" s="42"/>
      <c r="AC173" s="42"/>
      <c r="AD173" s="42"/>
      <c r="AE173" s="42"/>
      <c r="AF173" s="42"/>
      <c r="AG173" s="42"/>
      <c r="AH173" s="42"/>
      <c r="AI173" s="42"/>
      <c r="AJ173" s="42"/>
    </row>
    <row r="174" spans="1:36" ht="15.75">
      <c r="A174" s="797"/>
      <c r="B174" s="339"/>
      <c r="C174" s="42"/>
      <c r="D174" s="282"/>
      <c r="E174" s="42"/>
      <c r="F174" s="42"/>
      <c r="G174" s="42"/>
      <c r="H174" s="42"/>
      <c r="I174" s="42"/>
      <c r="J174" s="42"/>
      <c r="K174" s="42"/>
      <c r="L174" s="42"/>
      <c r="M174" s="42"/>
      <c r="N174" s="282"/>
      <c r="O174" s="42"/>
      <c r="P174" s="42"/>
      <c r="Q174" s="42"/>
      <c r="R174" s="42"/>
      <c r="S174" s="42"/>
      <c r="T174" s="42"/>
      <c r="U174" s="42"/>
      <c r="V174" s="42"/>
      <c r="W174" s="42"/>
      <c r="X174" s="42"/>
      <c r="Y174" s="42"/>
      <c r="Z174" s="42"/>
      <c r="AA174" s="42"/>
      <c r="AB174" s="42"/>
      <c r="AC174" s="42"/>
      <c r="AD174" s="42"/>
      <c r="AE174" s="42"/>
      <c r="AF174" s="42"/>
      <c r="AG174" s="42"/>
      <c r="AH174" s="42"/>
      <c r="AI174" s="42"/>
      <c r="AJ174" s="42"/>
    </row>
    <row r="175" spans="1:36" ht="15.75">
      <c r="A175" s="797"/>
      <c r="B175" s="339"/>
      <c r="C175" s="42"/>
      <c r="D175" s="282"/>
      <c r="E175" s="42"/>
      <c r="F175" s="42"/>
      <c r="G175" s="42"/>
      <c r="H175" s="42"/>
      <c r="I175" s="42"/>
      <c r="J175" s="42"/>
      <c r="K175" s="42"/>
      <c r="L175" s="42"/>
      <c r="M175" s="42"/>
      <c r="N175" s="282"/>
      <c r="O175" s="42"/>
      <c r="P175" s="42"/>
      <c r="Q175" s="42"/>
      <c r="R175" s="42"/>
      <c r="S175" s="42"/>
      <c r="T175" s="42"/>
      <c r="U175" s="42"/>
      <c r="V175" s="42"/>
      <c r="W175" s="42"/>
      <c r="X175" s="42"/>
      <c r="Y175" s="42"/>
      <c r="Z175" s="42"/>
      <c r="AA175" s="42"/>
      <c r="AB175" s="42"/>
      <c r="AC175" s="42"/>
      <c r="AD175" s="42"/>
      <c r="AE175" s="42"/>
      <c r="AF175" s="42"/>
      <c r="AG175" s="42"/>
      <c r="AH175" s="42"/>
      <c r="AI175" s="42"/>
      <c r="AJ175" s="42"/>
    </row>
    <row r="176" spans="1:36" ht="15.75">
      <c r="A176" s="797"/>
      <c r="B176" s="339"/>
      <c r="C176" s="42"/>
      <c r="D176" s="282"/>
      <c r="E176" s="42"/>
      <c r="F176" s="42"/>
      <c r="G176" s="42"/>
      <c r="H176" s="42"/>
      <c r="I176" s="42"/>
      <c r="J176" s="42"/>
      <c r="K176" s="42"/>
      <c r="L176" s="42"/>
      <c r="M176" s="42"/>
      <c r="N176" s="282"/>
      <c r="O176" s="42"/>
      <c r="P176" s="42"/>
      <c r="Q176" s="42"/>
      <c r="R176" s="42"/>
      <c r="S176" s="42"/>
      <c r="T176" s="42"/>
      <c r="U176" s="42"/>
      <c r="V176" s="42"/>
      <c r="W176" s="42"/>
      <c r="X176" s="42"/>
      <c r="Y176" s="42"/>
      <c r="Z176" s="42"/>
      <c r="AA176" s="42"/>
      <c r="AB176" s="42"/>
      <c r="AC176" s="42"/>
      <c r="AD176" s="42"/>
      <c r="AE176" s="42"/>
      <c r="AF176" s="42"/>
      <c r="AG176" s="42"/>
      <c r="AH176" s="42"/>
      <c r="AI176" s="42"/>
      <c r="AJ176" s="42"/>
    </row>
    <row r="177" spans="1:36" ht="15.75">
      <c r="A177" s="797"/>
      <c r="B177" s="339"/>
      <c r="C177" s="42"/>
      <c r="D177" s="282"/>
      <c r="E177" s="42"/>
      <c r="F177" s="42"/>
      <c r="G177" s="42"/>
      <c r="H177" s="42"/>
      <c r="I177" s="42"/>
      <c r="J177" s="42"/>
      <c r="K177" s="42"/>
      <c r="L177" s="42"/>
      <c r="M177" s="42"/>
      <c r="N177" s="282"/>
      <c r="O177" s="42"/>
      <c r="P177" s="42"/>
      <c r="Q177" s="42"/>
      <c r="R177" s="42"/>
      <c r="S177" s="42"/>
      <c r="T177" s="42"/>
      <c r="U177" s="42"/>
      <c r="V177" s="42"/>
      <c r="W177" s="42"/>
      <c r="X177" s="42"/>
      <c r="Y177" s="42"/>
      <c r="Z177" s="42"/>
      <c r="AA177" s="42"/>
      <c r="AB177" s="42"/>
      <c r="AC177" s="42"/>
      <c r="AD177" s="42"/>
      <c r="AE177" s="42"/>
      <c r="AF177" s="42"/>
      <c r="AG177" s="42"/>
      <c r="AH177" s="42"/>
      <c r="AI177" s="42"/>
      <c r="AJ177" s="42"/>
    </row>
    <row r="178" spans="1:36" ht="15.75">
      <c r="A178" s="797"/>
      <c r="B178" s="339"/>
      <c r="C178" s="42"/>
      <c r="D178" s="282"/>
      <c r="E178" s="42"/>
      <c r="F178" s="42"/>
      <c r="G178" s="42"/>
      <c r="H178" s="42"/>
      <c r="I178" s="42"/>
      <c r="J178" s="42"/>
      <c r="K178" s="42"/>
      <c r="L178" s="42"/>
      <c r="M178" s="42"/>
      <c r="N178" s="282"/>
      <c r="O178" s="42"/>
      <c r="P178" s="42"/>
      <c r="Q178" s="42"/>
      <c r="R178" s="42"/>
      <c r="S178" s="42"/>
      <c r="T178" s="42"/>
      <c r="U178" s="42"/>
      <c r="V178" s="42"/>
      <c r="W178" s="42"/>
      <c r="X178" s="42"/>
      <c r="Y178" s="42"/>
      <c r="Z178" s="42"/>
      <c r="AA178" s="42"/>
      <c r="AB178" s="42"/>
      <c r="AC178" s="42"/>
      <c r="AD178" s="42"/>
      <c r="AE178" s="42"/>
      <c r="AF178" s="42"/>
      <c r="AG178" s="42"/>
      <c r="AH178" s="42"/>
      <c r="AI178" s="42"/>
      <c r="AJ178" s="42"/>
    </row>
    <row r="179" spans="1:36" ht="15.75">
      <c r="A179" s="797"/>
      <c r="B179" s="339"/>
      <c r="C179" s="42"/>
      <c r="D179" s="282"/>
      <c r="E179" s="42"/>
      <c r="F179" s="42"/>
      <c r="G179" s="42"/>
      <c r="H179" s="42"/>
      <c r="I179" s="42"/>
      <c r="J179" s="42"/>
      <c r="K179" s="42"/>
      <c r="L179" s="42"/>
      <c r="M179" s="42"/>
      <c r="N179" s="282"/>
      <c r="O179" s="42"/>
      <c r="P179" s="42"/>
      <c r="Q179" s="42"/>
      <c r="R179" s="42"/>
      <c r="S179" s="42"/>
      <c r="T179" s="42"/>
      <c r="U179" s="42"/>
      <c r="V179" s="42"/>
      <c r="W179" s="42"/>
      <c r="X179" s="42"/>
      <c r="Y179" s="42"/>
      <c r="Z179" s="42"/>
      <c r="AA179" s="42"/>
      <c r="AB179" s="42"/>
      <c r="AC179" s="42"/>
      <c r="AD179" s="42"/>
      <c r="AE179" s="42"/>
      <c r="AF179" s="42"/>
      <c r="AG179" s="42"/>
      <c r="AH179" s="42"/>
      <c r="AI179" s="42"/>
      <c r="AJ179" s="42"/>
    </row>
    <row r="180" spans="1:36" ht="15.75">
      <c r="A180" s="797"/>
      <c r="B180" s="339"/>
      <c r="C180" s="42"/>
      <c r="D180" s="282"/>
      <c r="E180" s="42"/>
      <c r="F180" s="42"/>
      <c r="G180" s="42"/>
      <c r="H180" s="42"/>
      <c r="I180" s="42"/>
      <c r="J180" s="42"/>
      <c r="K180" s="42"/>
      <c r="L180" s="42"/>
      <c r="M180" s="42"/>
      <c r="N180" s="282"/>
      <c r="O180" s="42"/>
      <c r="P180" s="42"/>
      <c r="Q180" s="42"/>
      <c r="R180" s="42"/>
      <c r="S180" s="42"/>
      <c r="T180" s="42"/>
      <c r="U180" s="42"/>
      <c r="V180" s="42"/>
      <c r="W180" s="42"/>
      <c r="X180" s="42"/>
      <c r="Y180" s="42"/>
      <c r="Z180" s="42"/>
      <c r="AA180" s="42"/>
      <c r="AB180" s="42"/>
      <c r="AC180" s="42"/>
      <c r="AD180" s="42"/>
      <c r="AE180" s="42"/>
      <c r="AF180" s="42"/>
      <c r="AG180" s="42"/>
      <c r="AH180" s="42"/>
      <c r="AI180" s="42"/>
      <c r="AJ180" s="42"/>
    </row>
    <row r="181" spans="1:36" ht="15.75">
      <c r="A181" s="797"/>
      <c r="B181" s="339"/>
      <c r="C181" s="42"/>
      <c r="D181" s="282"/>
      <c r="E181" s="42"/>
      <c r="F181" s="42"/>
      <c r="G181" s="42"/>
      <c r="H181" s="42"/>
      <c r="I181" s="42"/>
      <c r="J181" s="42"/>
      <c r="K181" s="42"/>
      <c r="L181" s="42"/>
      <c r="M181" s="42"/>
      <c r="N181" s="282"/>
      <c r="O181" s="42"/>
      <c r="P181" s="42"/>
      <c r="Q181" s="42"/>
      <c r="R181" s="42"/>
      <c r="S181" s="42"/>
      <c r="T181" s="42"/>
      <c r="U181" s="42"/>
      <c r="V181" s="42"/>
      <c r="W181" s="42"/>
      <c r="X181" s="42"/>
      <c r="Y181" s="42"/>
      <c r="Z181" s="42"/>
      <c r="AA181" s="42"/>
      <c r="AB181" s="42"/>
      <c r="AC181" s="42"/>
      <c r="AD181" s="42"/>
      <c r="AE181" s="42"/>
      <c r="AF181" s="42"/>
      <c r="AG181" s="42"/>
      <c r="AH181" s="42"/>
      <c r="AI181" s="42"/>
      <c r="AJ181" s="42"/>
    </row>
    <row r="182" spans="1:36" ht="15.75">
      <c r="A182" s="797"/>
      <c r="B182" s="339"/>
      <c r="C182" s="42"/>
      <c r="D182" s="282"/>
      <c r="E182" s="42"/>
      <c r="F182" s="42"/>
      <c r="G182" s="42"/>
      <c r="H182" s="42"/>
      <c r="I182" s="42"/>
      <c r="J182" s="42"/>
      <c r="K182" s="42"/>
      <c r="L182" s="42"/>
      <c r="M182" s="42"/>
      <c r="N182" s="282"/>
      <c r="O182" s="42"/>
      <c r="P182" s="42"/>
      <c r="Q182" s="42"/>
      <c r="R182" s="42"/>
      <c r="S182" s="42"/>
      <c r="T182" s="42"/>
      <c r="U182" s="42"/>
      <c r="V182" s="42"/>
      <c r="W182" s="42"/>
      <c r="X182" s="42"/>
      <c r="Y182" s="42"/>
      <c r="Z182" s="42"/>
      <c r="AA182" s="42"/>
      <c r="AB182" s="42"/>
      <c r="AC182" s="42"/>
      <c r="AD182" s="42"/>
      <c r="AE182" s="42"/>
      <c r="AF182" s="42"/>
      <c r="AG182" s="42"/>
      <c r="AH182" s="42"/>
      <c r="AI182" s="42"/>
      <c r="AJ182" s="42"/>
    </row>
    <row r="183" spans="1:36" ht="15.75">
      <c r="A183" s="797"/>
      <c r="B183" s="339"/>
      <c r="C183" s="42"/>
      <c r="D183" s="282"/>
      <c r="E183" s="42"/>
      <c r="F183" s="42"/>
      <c r="G183" s="42"/>
      <c r="H183" s="42"/>
      <c r="I183" s="42"/>
      <c r="J183" s="42"/>
      <c r="K183" s="42"/>
      <c r="L183" s="42"/>
      <c r="M183" s="42"/>
      <c r="N183" s="282"/>
      <c r="O183" s="42"/>
      <c r="P183" s="42"/>
      <c r="Q183" s="42"/>
      <c r="R183" s="42"/>
      <c r="S183" s="42"/>
      <c r="T183" s="42"/>
      <c r="U183" s="42"/>
      <c r="V183" s="42"/>
      <c r="W183" s="42"/>
      <c r="X183" s="42"/>
      <c r="Y183" s="42"/>
      <c r="Z183" s="42"/>
      <c r="AA183" s="42"/>
      <c r="AB183" s="42"/>
      <c r="AC183" s="42"/>
      <c r="AD183" s="42"/>
      <c r="AE183" s="42"/>
      <c r="AF183" s="42"/>
      <c r="AG183" s="42"/>
      <c r="AH183" s="42"/>
      <c r="AI183" s="42"/>
      <c r="AJ183" s="42"/>
    </row>
    <row r="184" spans="1:36" ht="15.75">
      <c r="A184" s="797"/>
      <c r="B184" s="339"/>
      <c r="C184" s="42"/>
      <c r="D184" s="282"/>
      <c r="E184" s="42"/>
      <c r="F184" s="42"/>
      <c r="G184" s="42"/>
      <c r="H184" s="42"/>
      <c r="I184" s="42"/>
      <c r="J184" s="42"/>
      <c r="K184" s="42"/>
      <c r="L184" s="42"/>
      <c r="M184" s="42"/>
      <c r="N184" s="282"/>
      <c r="O184" s="42"/>
      <c r="P184" s="42"/>
      <c r="Q184" s="42"/>
      <c r="R184" s="42"/>
      <c r="S184" s="42"/>
      <c r="T184" s="42"/>
      <c r="U184" s="42"/>
      <c r="V184" s="42"/>
      <c r="W184" s="42"/>
      <c r="X184" s="42"/>
      <c r="Y184" s="42"/>
      <c r="Z184" s="42"/>
      <c r="AA184" s="42"/>
      <c r="AB184" s="42"/>
      <c r="AC184" s="42"/>
      <c r="AD184" s="42"/>
      <c r="AE184" s="42"/>
      <c r="AF184" s="42"/>
      <c r="AG184" s="42"/>
      <c r="AH184" s="42"/>
      <c r="AI184" s="42"/>
      <c r="AJ184" s="42"/>
    </row>
    <row r="185" spans="1:36" ht="15.75">
      <c r="A185" s="797"/>
      <c r="B185" s="339"/>
      <c r="C185" s="42"/>
      <c r="D185" s="282"/>
      <c r="E185" s="42"/>
      <c r="F185" s="42"/>
      <c r="G185" s="42"/>
      <c r="H185" s="42"/>
      <c r="I185" s="42"/>
      <c r="J185" s="42"/>
      <c r="K185" s="42"/>
      <c r="L185" s="42"/>
      <c r="M185" s="42"/>
      <c r="N185" s="282"/>
      <c r="O185" s="42"/>
      <c r="P185" s="42"/>
      <c r="Q185" s="42"/>
      <c r="R185" s="42"/>
      <c r="S185" s="42"/>
      <c r="T185" s="42"/>
      <c r="U185" s="42"/>
      <c r="V185" s="42"/>
      <c r="W185" s="42"/>
      <c r="X185" s="42"/>
      <c r="Y185" s="42"/>
      <c r="Z185" s="42"/>
      <c r="AA185" s="42"/>
      <c r="AB185" s="42"/>
      <c r="AC185" s="42"/>
      <c r="AD185" s="42"/>
      <c r="AE185" s="42"/>
      <c r="AF185" s="42"/>
      <c r="AG185" s="42"/>
      <c r="AH185" s="42"/>
      <c r="AI185" s="42"/>
      <c r="AJ185" s="42"/>
    </row>
    <row r="186" spans="1:36" ht="15.75">
      <c r="A186" s="797"/>
      <c r="B186" s="339"/>
      <c r="C186" s="42"/>
      <c r="D186" s="282"/>
      <c r="E186" s="42"/>
      <c r="F186" s="42"/>
      <c r="G186" s="42"/>
      <c r="H186" s="42"/>
      <c r="I186" s="42"/>
      <c r="J186" s="42"/>
      <c r="K186" s="42"/>
      <c r="L186" s="42"/>
      <c r="M186" s="42"/>
      <c r="N186" s="282"/>
      <c r="O186" s="42"/>
      <c r="P186" s="42"/>
      <c r="Q186" s="42"/>
      <c r="R186" s="42"/>
      <c r="S186" s="42"/>
      <c r="T186" s="42"/>
      <c r="U186" s="42"/>
      <c r="V186" s="42"/>
      <c r="W186" s="42"/>
      <c r="X186" s="42"/>
      <c r="Y186" s="42"/>
      <c r="Z186" s="42"/>
      <c r="AA186" s="42"/>
      <c r="AB186" s="42"/>
      <c r="AC186" s="42"/>
      <c r="AD186" s="42"/>
      <c r="AE186" s="42"/>
      <c r="AF186" s="42"/>
      <c r="AG186" s="42"/>
      <c r="AH186" s="42"/>
      <c r="AI186" s="42"/>
      <c r="AJ186" s="42"/>
    </row>
    <row r="187" spans="1:36" ht="15.75">
      <c r="A187" s="797"/>
      <c r="B187" s="339"/>
      <c r="C187" s="42"/>
      <c r="D187" s="282"/>
      <c r="E187" s="42"/>
      <c r="F187" s="42"/>
      <c r="G187" s="42"/>
      <c r="H187" s="42"/>
      <c r="I187" s="42"/>
      <c r="J187" s="42"/>
      <c r="K187" s="42"/>
      <c r="L187" s="42"/>
      <c r="M187" s="42"/>
      <c r="N187" s="282"/>
      <c r="O187" s="42"/>
      <c r="P187" s="42"/>
      <c r="Q187" s="42"/>
      <c r="R187" s="42"/>
      <c r="S187" s="42"/>
      <c r="T187" s="42"/>
      <c r="U187" s="42"/>
      <c r="V187" s="42"/>
      <c r="W187" s="42"/>
      <c r="X187" s="42"/>
      <c r="Y187" s="42"/>
      <c r="Z187" s="42"/>
      <c r="AA187" s="42"/>
      <c r="AB187" s="42"/>
      <c r="AC187" s="42"/>
      <c r="AD187" s="42"/>
      <c r="AE187" s="42"/>
      <c r="AF187" s="42"/>
      <c r="AG187" s="42"/>
      <c r="AH187" s="42"/>
      <c r="AI187" s="42"/>
      <c r="AJ187" s="42"/>
    </row>
    <row r="188" spans="1:36" ht="15.75">
      <c r="A188" s="797"/>
      <c r="B188" s="339"/>
      <c r="C188" s="42"/>
      <c r="D188" s="282"/>
      <c r="E188" s="42"/>
      <c r="F188" s="42"/>
      <c r="G188" s="42"/>
      <c r="H188" s="42"/>
      <c r="I188" s="42"/>
      <c r="J188" s="42"/>
      <c r="K188" s="42"/>
      <c r="L188" s="42"/>
      <c r="M188" s="42"/>
      <c r="N188" s="282"/>
      <c r="O188" s="42"/>
      <c r="P188" s="42"/>
      <c r="Q188" s="42"/>
      <c r="R188" s="42"/>
      <c r="S188" s="42"/>
      <c r="T188" s="42"/>
      <c r="U188" s="42"/>
      <c r="V188" s="42"/>
      <c r="W188" s="42"/>
      <c r="X188" s="42"/>
      <c r="Y188" s="42"/>
      <c r="Z188" s="42"/>
      <c r="AA188" s="42"/>
      <c r="AB188" s="42"/>
      <c r="AC188" s="42"/>
      <c r="AD188" s="42"/>
      <c r="AE188" s="42"/>
      <c r="AF188" s="42"/>
      <c r="AG188" s="42"/>
      <c r="AH188" s="42"/>
      <c r="AI188" s="42"/>
      <c r="AJ188" s="42"/>
    </row>
    <row r="189" spans="1:36" ht="15.75">
      <c r="A189" s="797"/>
      <c r="B189" s="339"/>
      <c r="C189" s="42"/>
      <c r="D189" s="282"/>
      <c r="E189" s="42"/>
      <c r="F189" s="42"/>
      <c r="G189" s="42"/>
      <c r="H189" s="42"/>
      <c r="I189" s="42"/>
      <c r="J189" s="42"/>
      <c r="K189" s="42"/>
      <c r="L189" s="42"/>
      <c r="M189" s="42"/>
      <c r="N189" s="282"/>
      <c r="O189" s="42"/>
      <c r="P189" s="42"/>
      <c r="Q189" s="42"/>
      <c r="R189" s="42"/>
      <c r="S189" s="42"/>
      <c r="T189" s="42"/>
      <c r="U189" s="42"/>
      <c r="V189" s="42"/>
      <c r="W189" s="42"/>
      <c r="X189" s="42"/>
      <c r="Y189" s="42"/>
      <c r="Z189" s="42"/>
      <c r="AA189" s="42"/>
      <c r="AB189" s="42"/>
      <c r="AC189" s="42"/>
      <c r="AD189" s="42"/>
      <c r="AE189" s="42"/>
      <c r="AF189" s="42"/>
      <c r="AG189" s="42"/>
      <c r="AH189" s="42"/>
      <c r="AI189" s="42"/>
      <c r="AJ189" s="42"/>
    </row>
    <row r="190" spans="1:36" ht="15.75">
      <c r="A190" s="797"/>
      <c r="B190" s="339"/>
      <c r="C190" s="42"/>
      <c r="D190" s="282"/>
      <c r="E190" s="42"/>
      <c r="F190" s="42"/>
      <c r="G190" s="42"/>
      <c r="H190" s="42"/>
      <c r="I190" s="42"/>
      <c r="J190" s="42"/>
      <c r="K190" s="42"/>
      <c r="L190" s="42"/>
      <c r="M190" s="42"/>
      <c r="N190" s="282"/>
      <c r="O190" s="42"/>
      <c r="P190" s="42"/>
      <c r="Q190" s="42"/>
      <c r="R190" s="42"/>
      <c r="S190" s="42"/>
      <c r="T190" s="42"/>
      <c r="U190" s="42"/>
      <c r="V190" s="42"/>
      <c r="W190" s="42"/>
      <c r="X190" s="42"/>
      <c r="Y190" s="42"/>
      <c r="Z190" s="42"/>
      <c r="AA190" s="42"/>
      <c r="AB190" s="42"/>
      <c r="AC190" s="42"/>
      <c r="AD190" s="42"/>
      <c r="AE190" s="42"/>
      <c r="AF190" s="42"/>
      <c r="AG190" s="42"/>
      <c r="AH190" s="42"/>
      <c r="AI190" s="42"/>
      <c r="AJ190" s="42"/>
    </row>
    <row r="191" spans="1:36" ht="15.75">
      <c r="A191" s="797"/>
      <c r="B191" s="339"/>
      <c r="C191" s="42"/>
      <c r="D191" s="282"/>
      <c r="E191" s="42"/>
      <c r="F191" s="42"/>
      <c r="G191" s="42"/>
      <c r="H191" s="42"/>
      <c r="I191" s="42"/>
      <c r="J191" s="42"/>
      <c r="K191" s="42"/>
      <c r="L191" s="42"/>
      <c r="M191" s="42"/>
      <c r="N191" s="282"/>
      <c r="O191" s="42"/>
      <c r="P191" s="42"/>
      <c r="Q191" s="42"/>
      <c r="R191" s="42"/>
      <c r="S191" s="42"/>
      <c r="T191" s="42"/>
      <c r="U191" s="42"/>
      <c r="V191" s="42"/>
      <c r="W191" s="42"/>
      <c r="X191" s="42"/>
      <c r="Y191" s="42"/>
      <c r="Z191" s="42"/>
      <c r="AA191" s="42"/>
      <c r="AB191" s="42"/>
      <c r="AC191" s="42"/>
      <c r="AD191" s="42"/>
      <c r="AE191" s="42"/>
      <c r="AF191" s="42"/>
      <c r="AG191" s="42"/>
      <c r="AH191" s="42"/>
      <c r="AI191" s="42"/>
      <c r="AJ191" s="42"/>
    </row>
    <row r="192" spans="1:36" ht="15.75">
      <c r="A192" s="797"/>
      <c r="B192" s="339"/>
      <c r="C192" s="42"/>
      <c r="D192" s="282"/>
      <c r="E192" s="42"/>
      <c r="F192" s="42"/>
      <c r="G192" s="42"/>
      <c r="H192" s="42"/>
      <c r="I192" s="42"/>
      <c r="J192" s="42"/>
      <c r="K192" s="42"/>
      <c r="L192" s="42"/>
      <c r="M192" s="42"/>
      <c r="N192" s="282"/>
      <c r="O192" s="42"/>
      <c r="P192" s="42"/>
      <c r="Q192" s="42"/>
      <c r="R192" s="42"/>
      <c r="S192" s="42"/>
      <c r="T192" s="42"/>
      <c r="U192" s="42"/>
      <c r="V192" s="42"/>
      <c r="W192" s="42"/>
      <c r="X192" s="42"/>
      <c r="Y192" s="42"/>
      <c r="Z192" s="42"/>
      <c r="AA192" s="42"/>
      <c r="AB192" s="42"/>
      <c r="AC192" s="42"/>
      <c r="AD192" s="42"/>
      <c r="AE192" s="42"/>
      <c r="AF192" s="42"/>
      <c r="AG192" s="42"/>
      <c r="AH192" s="42"/>
      <c r="AI192" s="42"/>
      <c r="AJ192" s="42"/>
    </row>
    <row r="193" spans="1:36" ht="15.75">
      <c r="A193" s="797"/>
      <c r="B193" s="339"/>
      <c r="C193" s="42"/>
      <c r="D193" s="282"/>
      <c r="E193" s="42"/>
      <c r="F193" s="42"/>
      <c r="G193" s="42"/>
      <c r="H193" s="42"/>
      <c r="I193" s="42"/>
      <c r="J193" s="42"/>
      <c r="K193" s="42"/>
      <c r="L193" s="42"/>
      <c r="M193" s="42"/>
      <c r="N193" s="282"/>
      <c r="O193" s="42"/>
      <c r="P193" s="42"/>
      <c r="Q193" s="42"/>
      <c r="R193" s="42"/>
      <c r="S193" s="42"/>
      <c r="T193" s="42"/>
      <c r="U193" s="42"/>
      <c r="V193" s="42"/>
      <c r="W193" s="42"/>
      <c r="X193" s="42"/>
      <c r="Y193" s="42"/>
      <c r="Z193" s="42"/>
      <c r="AA193" s="42"/>
      <c r="AB193" s="42"/>
      <c r="AC193" s="42"/>
      <c r="AD193" s="42"/>
      <c r="AE193" s="42"/>
      <c r="AF193" s="42"/>
      <c r="AG193" s="42"/>
      <c r="AH193" s="42"/>
      <c r="AI193" s="42"/>
      <c r="AJ193" s="42"/>
    </row>
    <row r="194" spans="1:36" ht="15.75">
      <c r="A194" s="797"/>
      <c r="B194" s="339"/>
      <c r="C194" s="42"/>
      <c r="D194" s="282"/>
      <c r="E194" s="42"/>
      <c r="F194" s="42"/>
      <c r="G194" s="42"/>
      <c r="H194" s="42"/>
      <c r="I194" s="42"/>
      <c r="J194" s="42"/>
      <c r="K194" s="42"/>
      <c r="L194" s="42"/>
      <c r="M194" s="42"/>
      <c r="N194" s="282"/>
      <c r="O194" s="42"/>
      <c r="P194" s="42"/>
      <c r="Q194" s="42"/>
      <c r="R194" s="42"/>
      <c r="S194" s="42"/>
      <c r="T194" s="42"/>
      <c r="U194" s="42"/>
      <c r="V194" s="42"/>
      <c r="W194" s="42"/>
      <c r="X194" s="42"/>
      <c r="Y194" s="42"/>
      <c r="Z194" s="42"/>
      <c r="AA194" s="42"/>
      <c r="AB194" s="42"/>
      <c r="AC194" s="42"/>
      <c r="AD194" s="42"/>
      <c r="AE194" s="42"/>
      <c r="AF194" s="42"/>
      <c r="AG194" s="42"/>
      <c r="AH194" s="42"/>
      <c r="AI194" s="42"/>
      <c r="AJ194" s="42"/>
    </row>
    <row r="195" spans="1:36" ht="15.75">
      <c r="A195" s="797"/>
      <c r="B195" s="339"/>
      <c r="C195" s="42"/>
      <c r="D195" s="282"/>
      <c r="E195" s="42"/>
      <c r="F195" s="42"/>
      <c r="G195" s="42"/>
      <c r="H195" s="42"/>
      <c r="I195" s="42"/>
      <c r="J195" s="42"/>
      <c r="K195" s="42"/>
      <c r="L195" s="42"/>
      <c r="M195" s="42"/>
      <c r="N195" s="282"/>
      <c r="O195" s="42"/>
      <c r="P195" s="42"/>
      <c r="Q195" s="42"/>
      <c r="R195" s="42"/>
      <c r="S195" s="42"/>
      <c r="T195" s="42"/>
      <c r="U195" s="42"/>
      <c r="V195" s="42"/>
      <c r="W195" s="42"/>
      <c r="X195" s="42"/>
      <c r="Y195" s="42"/>
      <c r="Z195" s="42"/>
      <c r="AA195" s="42"/>
      <c r="AB195" s="42"/>
      <c r="AC195" s="42"/>
      <c r="AD195" s="42"/>
      <c r="AE195" s="42"/>
      <c r="AF195" s="42"/>
      <c r="AG195" s="42"/>
      <c r="AH195" s="42"/>
      <c r="AI195" s="42"/>
      <c r="AJ195" s="42"/>
    </row>
    <row r="196" spans="1:36" ht="15.75">
      <c r="A196" s="797"/>
      <c r="B196" s="339"/>
      <c r="C196" s="42"/>
      <c r="D196" s="282"/>
      <c r="E196" s="42"/>
      <c r="F196" s="42"/>
      <c r="G196" s="42"/>
      <c r="H196" s="42"/>
      <c r="I196" s="42"/>
      <c r="J196" s="42"/>
      <c r="K196" s="42"/>
      <c r="L196" s="42"/>
      <c r="M196" s="42"/>
      <c r="N196" s="282"/>
      <c r="O196" s="42"/>
      <c r="P196" s="42"/>
      <c r="Q196" s="42"/>
      <c r="R196" s="42"/>
      <c r="S196" s="42"/>
      <c r="T196" s="42"/>
      <c r="U196" s="42"/>
      <c r="V196" s="42"/>
      <c r="W196" s="42"/>
      <c r="X196" s="42"/>
      <c r="Y196" s="42"/>
      <c r="Z196" s="42"/>
      <c r="AA196" s="42"/>
      <c r="AB196" s="42"/>
      <c r="AC196" s="42"/>
      <c r="AD196" s="42"/>
      <c r="AE196" s="42"/>
      <c r="AF196" s="42"/>
      <c r="AG196" s="42"/>
      <c r="AH196" s="42"/>
      <c r="AI196" s="42"/>
      <c r="AJ196" s="42"/>
    </row>
    <row r="197" spans="1:36" ht="15.75">
      <c r="A197" s="797"/>
      <c r="B197" s="339"/>
      <c r="C197" s="42"/>
      <c r="D197" s="282"/>
      <c r="E197" s="42"/>
      <c r="F197" s="42"/>
      <c r="G197" s="42"/>
      <c r="H197" s="42"/>
      <c r="I197" s="42"/>
      <c r="J197" s="42"/>
      <c r="K197" s="42"/>
      <c r="L197" s="42"/>
      <c r="M197" s="42"/>
      <c r="N197" s="282"/>
      <c r="O197" s="42"/>
      <c r="P197" s="42"/>
      <c r="Q197" s="42"/>
      <c r="R197" s="42"/>
      <c r="S197" s="42"/>
      <c r="T197" s="42"/>
      <c r="U197" s="42"/>
      <c r="V197" s="42"/>
      <c r="W197" s="42"/>
      <c r="X197" s="42"/>
      <c r="Y197" s="42"/>
      <c r="Z197" s="42"/>
      <c r="AA197" s="42"/>
      <c r="AB197" s="42"/>
      <c r="AC197" s="42"/>
      <c r="AD197" s="42"/>
      <c r="AE197" s="42"/>
      <c r="AF197" s="42"/>
      <c r="AG197" s="42"/>
      <c r="AH197" s="42"/>
      <c r="AI197" s="42"/>
      <c r="AJ197" s="42"/>
    </row>
    <row r="198" spans="1:36" ht="15.75">
      <c r="A198" s="797"/>
      <c r="B198" s="339"/>
      <c r="C198" s="42"/>
      <c r="D198" s="282"/>
      <c r="E198" s="42"/>
      <c r="F198" s="42"/>
      <c r="G198" s="42"/>
      <c r="H198" s="42"/>
      <c r="I198" s="42"/>
      <c r="J198" s="42"/>
      <c r="K198" s="42"/>
      <c r="L198" s="42"/>
      <c r="M198" s="42"/>
      <c r="N198" s="282"/>
      <c r="O198" s="42"/>
      <c r="P198" s="42"/>
      <c r="Q198" s="42"/>
      <c r="R198" s="42"/>
      <c r="S198" s="42"/>
      <c r="T198" s="42"/>
      <c r="U198" s="42"/>
      <c r="V198" s="42"/>
      <c r="W198" s="42"/>
      <c r="X198" s="42"/>
      <c r="Y198" s="42"/>
      <c r="Z198" s="42"/>
      <c r="AA198" s="42"/>
      <c r="AB198" s="42"/>
      <c r="AC198" s="42"/>
      <c r="AD198" s="42"/>
      <c r="AE198" s="42"/>
      <c r="AF198" s="42"/>
      <c r="AG198" s="42"/>
      <c r="AH198" s="42"/>
      <c r="AI198" s="42"/>
      <c r="AJ198" s="42"/>
    </row>
    <row r="199" spans="1:36" ht="15.75">
      <c r="A199" s="797"/>
      <c r="B199" s="339"/>
      <c r="C199" s="42"/>
      <c r="D199" s="282"/>
      <c r="E199" s="42"/>
      <c r="F199" s="42"/>
      <c r="G199" s="42"/>
      <c r="H199" s="42"/>
      <c r="I199" s="42"/>
      <c r="J199" s="42"/>
      <c r="K199" s="42"/>
      <c r="L199" s="42"/>
      <c r="M199" s="42"/>
      <c r="N199" s="282"/>
      <c r="O199" s="42"/>
      <c r="P199" s="42"/>
      <c r="Q199" s="42"/>
      <c r="R199" s="42"/>
      <c r="S199" s="42"/>
      <c r="T199" s="42"/>
      <c r="U199" s="42"/>
      <c r="V199" s="42"/>
      <c r="W199" s="42"/>
      <c r="X199" s="42"/>
      <c r="Y199" s="42"/>
      <c r="Z199" s="42"/>
      <c r="AA199" s="42"/>
      <c r="AB199" s="42"/>
      <c r="AC199" s="42"/>
      <c r="AD199" s="42"/>
      <c r="AE199" s="42"/>
      <c r="AF199" s="42"/>
      <c r="AG199" s="42"/>
      <c r="AH199" s="42"/>
      <c r="AI199" s="42"/>
      <c r="AJ199" s="42"/>
    </row>
    <row r="200" spans="1:36" ht="15.75">
      <c r="A200" s="797"/>
      <c r="B200" s="339"/>
      <c r="C200" s="42"/>
      <c r="D200" s="282"/>
      <c r="E200" s="42"/>
      <c r="F200" s="42"/>
      <c r="G200" s="42"/>
      <c r="H200" s="42"/>
      <c r="I200" s="42"/>
      <c r="J200" s="42"/>
      <c r="K200" s="42"/>
      <c r="L200" s="42"/>
      <c r="M200" s="42"/>
      <c r="N200" s="282"/>
      <c r="O200" s="42"/>
      <c r="P200" s="42"/>
      <c r="Q200" s="42"/>
      <c r="R200" s="42"/>
      <c r="S200" s="42"/>
      <c r="T200" s="42"/>
      <c r="U200" s="42"/>
      <c r="V200" s="42"/>
      <c r="W200" s="42"/>
      <c r="X200" s="42"/>
      <c r="Y200" s="42"/>
      <c r="Z200" s="42"/>
      <c r="AA200" s="42"/>
      <c r="AB200" s="42"/>
      <c r="AC200" s="42"/>
      <c r="AD200" s="42"/>
      <c r="AE200" s="42"/>
      <c r="AF200" s="42"/>
      <c r="AG200" s="42"/>
      <c r="AH200" s="42"/>
      <c r="AI200" s="42"/>
      <c r="AJ200" s="42"/>
    </row>
    <row r="201" spans="1:36" ht="15.75">
      <c r="A201" s="797"/>
      <c r="B201" s="339"/>
      <c r="C201" s="42"/>
      <c r="D201" s="282"/>
      <c r="E201" s="42"/>
      <c r="F201" s="42"/>
      <c r="G201" s="42"/>
      <c r="H201" s="42"/>
      <c r="I201" s="42"/>
      <c r="J201" s="42"/>
      <c r="K201" s="42"/>
      <c r="L201" s="42"/>
      <c r="M201" s="42"/>
      <c r="N201" s="282"/>
      <c r="O201" s="42"/>
      <c r="P201" s="42"/>
      <c r="Q201" s="42"/>
      <c r="R201" s="42"/>
      <c r="S201" s="42"/>
      <c r="T201" s="42"/>
      <c r="U201" s="42"/>
      <c r="V201" s="42"/>
      <c r="W201" s="42"/>
      <c r="X201" s="42"/>
      <c r="Y201" s="42"/>
      <c r="Z201" s="42"/>
      <c r="AA201" s="42"/>
      <c r="AB201" s="42"/>
      <c r="AC201" s="42"/>
      <c r="AD201" s="42"/>
      <c r="AE201" s="42"/>
      <c r="AF201" s="42"/>
      <c r="AG201" s="42"/>
      <c r="AH201" s="42"/>
      <c r="AI201" s="42"/>
      <c r="AJ201" s="42"/>
    </row>
    <row r="202" spans="1:36" ht="15.75">
      <c r="A202" s="797"/>
      <c r="B202" s="339"/>
      <c r="C202" s="42"/>
      <c r="D202" s="282"/>
      <c r="E202" s="42"/>
      <c r="F202" s="42"/>
      <c r="G202" s="42"/>
      <c r="H202" s="42"/>
      <c r="I202" s="42"/>
      <c r="J202" s="42"/>
      <c r="K202" s="42"/>
      <c r="L202" s="42"/>
      <c r="M202" s="42"/>
      <c r="N202" s="282"/>
      <c r="O202" s="42"/>
      <c r="P202" s="42"/>
      <c r="Q202" s="42"/>
      <c r="R202" s="42"/>
      <c r="S202" s="42"/>
      <c r="T202" s="42"/>
      <c r="U202" s="42"/>
      <c r="V202" s="42"/>
      <c r="W202" s="42"/>
      <c r="X202" s="42"/>
      <c r="Y202" s="42"/>
      <c r="Z202" s="42"/>
      <c r="AA202" s="42"/>
      <c r="AB202" s="42"/>
      <c r="AC202" s="42"/>
      <c r="AD202" s="42"/>
      <c r="AE202" s="42"/>
      <c r="AF202" s="42"/>
      <c r="AG202" s="42"/>
      <c r="AH202" s="42"/>
      <c r="AI202" s="42"/>
      <c r="AJ202" s="42"/>
    </row>
    <row r="203" spans="1:36" ht="15.75">
      <c r="A203" s="797"/>
      <c r="B203" s="339"/>
      <c r="C203" s="42"/>
      <c r="D203" s="282"/>
      <c r="E203" s="42"/>
      <c r="F203" s="42"/>
      <c r="G203" s="42"/>
      <c r="H203" s="42"/>
      <c r="I203" s="42"/>
      <c r="J203" s="42"/>
      <c r="K203" s="42"/>
      <c r="L203" s="42"/>
      <c r="M203" s="42"/>
      <c r="N203" s="282"/>
      <c r="O203" s="42"/>
      <c r="P203" s="42"/>
      <c r="Q203" s="42"/>
      <c r="R203" s="42"/>
      <c r="S203" s="42"/>
      <c r="T203" s="42"/>
      <c r="U203" s="42"/>
      <c r="V203" s="42"/>
      <c r="W203" s="42"/>
      <c r="X203" s="42"/>
      <c r="Y203" s="42"/>
      <c r="Z203" s="42"/>
      <c r="AA203" s="42"/>
      <c r="AB203" s="42"/>
      <c r="AC203" s="42"/>
      <c r="AD203" s="42"/>
      <c r="AE203" s="42"/>
      <c r="AF203" s="42"/>
      <c r="AG203" s="42"/>
      <c r="AH203" s="42"/>
      <c r="AI203" s="42"/>
      <c r="AJ203" s="42"/>
    </row>
    <row r="204" spans="1:36" ht="15.75">
      <c r="A204" s="797"/>
      <c r="B204" s="339"/>
      <c r="C204" s="42"/>
      <c r="D204" s="282"/>
      <c r="E204" s="42"/>
      <c r="F204" s="42"/>
      <c r="G204" s="42"/>
      <c r="H204" s="42"/>
      <c r="I204" s="42"/>
      <c r="J204" s="42"/>
      <c r="K204" s="42"/>
      <c r="L204" s="42"/>
      <c r="M204" s="42"/>
      <c r="N204" s="282"/>
      <c r="O204" s="42"/>
      <c r="P204" s="42"/>
      <c r="Q204" s="42"/>
      <c r="R204" s="42"/>
      <c r="S204" s="42"/>
      <c r="T204" s="42"/>
      <c r="U204" s="42"/>
      <c r="V204" s="42"/>
      <c r="W204" s="42"/>
      <c r="X204" s="42"/>
      <c r="Y204" s="42"/>
      <c r="Z204" s="42"/>
      <c r="AA204" s="42"/>
      <c r="AB204" s="42"/>
      <c r="AC204" s="42"/>
      <c r="AD204" s="42"/>
      <c r="AE204" s="42"/>
      <c r="AF204" s="42"/>
      <c r="AG204" s="42"/>
      <c r="AH204" s="42"/>
      <c r="AI204" s="42"/>
      <c r="AJ204" s="42"/>
    </row>
    <row r="205" spans="1:36" ht="15.75">
      <c r="A205" s="797"/>
      <c r="B205" s="339"/>
      <c r="C205" s="42"/>
      <c r="D205" s="282"/>
      <c r="E205" s="42"/>
      <c r="F205" s="42"/>
      <c r="G205" s="42"/>
      <c r="H205" s="42"/>
      <c r="I205" s="42"/>
      <c r="J205" s="42"/>
      <c r="K205" s="42"/>
      <c r="L205" s="42"/>
      <c r="M205" s="42"/>
      <c r="N205" s="282"/>
      <c r="O205" s="42"/>
      <c r="P205" s="42"/>
      <c r="Q205" s="42"/>
      <c r="R205" s="42"/>
      <c r="S205" s="42"/>
      <c r="T205" s="42"/>
      <c r="U205" s="42"/>
      <c r="V205" s="42"/>
      <c r="W205" s="42"/>
      <c r="X205" s="42"/>
      <c r="Y205" s="42"/>
      <c r="Z205" s="42"/>
      <c r="AA205" s="42"/>
      <c r="AB205" s="42"/>
      <c r="AC205" s="42"/>
      <c r="AD205" s="42"/>
      <c r="AE205" s="42"/>
      <c r="AF205" s="42"/>
      <c r="AG205" s="42"/>
      <c r="AH205" s="42"/>
      <c r="AI205" s="42"/>
      <c r="AJ205" s="42"/>
    </row>
    <row r="206" spans="1:36" ht="15.75">
      <c r="A206" s="797"/>
      <c r="B206" s="339"/>
      <c r="C206" s="42"/>
      <c r="D206" s="282"/>
      <c r="E206" s="42"/>
      <c r="F206" s="42"/>
      <c r="G206" s="42"/>
      <c r="H206" s="42"/>
      <c r="I206" s="42"/>
      <c r="J206" s="42"/>
      <c r="K206" s="42"/>
      <c r="L206" s="42"/>
      <c r="M206" s="42"/>
      <c r="N206" s="282"/>
      <c r="O206" s="42"/>
      <c r="P206" s="42"/>
      <c r="Q206" s="42"/>
      <c r="R206" s="42"/>
      <c r="S206" s="42"/>
      <c r="T206" s="42"/>
      <c r="U206" s="42"/>
      <c r="V206" s="42"/>
      <c r="W206" s="42"/>
      <c r="X206" s="42"/>
      <c r="Y206" s="42"/>
      <c r="Z206" s="42"/>
      <c r="AA206" s="42"/>
      <c r="AB206" s="42"/>
      <c r="AC206" s="42"/>
      <c r="AD206" s="42"/>
      <c r="AE206" s="42"/>
      <c r="AF206" s="42"/>
      <c r="AG206" s="42"/>
      <c r="AH206" s="42"/>
      <c r="AI206" s="42"/>
      <c r="AJ206" s="42"/>
    </row>
    <row r="207" spans="1:36" ht="15.75">
      <c r="A207" s="797"/>
      <c r="B207" s="339"/>
      <c r="C207" s="42"/>
      <c r="D207" s="282"/>
      <c r="E207" s="42"/>
      <c r="F207" s="42"/>
      <c r="G207" s="42"/>
      <c r="H207" s="42"/>
      <c r="I207" s="42"/>
      <c r="J207" s="42"/>
      <c r="K207" s="42"/>
      <c r="L207" s="42"/>
      <c r="M207" s="42"/>
      <c r="N207" s="282"/>
      <c r="O207" s="42"/>
      <c r="P207" s="42"/>
      <c r="Q207" s="42"/>
      <c r="R207" s="42"/>
      <c r="S207" s="42"/>
      <c r="T207" s="42"/>
      <c r="U207" s="42"/>
      <c r="V207" s="42"/>
      <c r="W207" s="42"/>
      <c r="X207" s="42"/>
      <c r="Y207" s="42"/>
      <c r="Z207" s="42"/>
      <c r="AA207" s="42"/>
      <c r="AB207" s="42"/>
      <c r="AC207" s="42"/>
      <c r="AD207" s="42"/>
      <c r="AE207" s="42"/>
      <c r="AF207" s="42"/>
      <c r="AG207" s="42"/>
      <c r="AH207" s="42"/>
      <c r="AI207" s="42"/>
      <c r="AJ207" s="42"/>
    </row>
    <row r="208" spans="1:36" ht="15.75">
      <c r="A208" s="797"/>
      <c r="B208" s="339"/>
      <c r="C208" s="42"/>
      <c r="D208" s="282"/>
      <c r="E208" s="42"/>
      <c r="F208" s="42"/>
      <c r="G208" s="42"/>
      <c r="H208" s="42"/>
      <c r="I208" s="42"/>
      <c r="J208" s="42"/>
      <c r="K208" s="42"/>
      <c r="L208" s="42"/>
      <c r="M208" s="42"/>
      <c r="N208" s="282"/>
      <c r="O208" s="42"/>
      <c r="P208" s="42"/>
      <c r="Q208" s="42"/>
      <c r="R208" s="42"/>
      <c r="S208" s="42"/>
      <c r="T208" s="42"/>
      <c r="U208" s="42"/>
      <c r="V208" s="42"/>
      <c r="W208" s="42"/>
      <c r="X208" s="42"/>
      <c r="Y208" s="42"/>
      <c r="Z208" s="42"/>
      <c r="AA208" s="42"/>
      <c r="AB208" s="42"/>
      <c r="AC208" s="42"/>
      <c r="AD208" s="42"/>
      <c r="AE208" s="42"/>
      <c r="AF208" s="42"/>
      <c r="AG208" s="42"/>
      <c r="AH208" s="42"/>
      <c r="AI208" s="42"/>
      <c r="AJ208" s="42"/>
    </row>
    <row r="209" spans="1:36" ht="15.75">
      <c r="A209" s="797"/>
      <c r="B209" s="339"/>
      <c r="C209" s="42"/>
      <c r="D209" s="282"/>
      <c r="E209" s="42"/>
      <c r="F209" s="42"/>
      <c r="G209" s="42"/>
      <c r="H209" s="42"/>
      <c r="I209" s="42"/>
      <c r="J209" s="42"/>
      <c r="K209" s="42"/>
      <c r="L209" s="42"/>
      <c r="M209" s="42"/>
      <c r="N209" s="282"/>
      <c r="O209" s="42"/>
      <c r="P209" s="42"/>
      <c r="Q209" s="42"/>
      <c r="R209" s="42"/>
      <c r="S209" s="42"/>
      <c r="T209" s="42"/>
      <c r="U209" s="42"/>
      <c r="V209" s="42"/>
      <c r="W209" s="42"/>
      <c r="X209" s="42"/>
      <c r="Y209" s="42"/>
      <c r="Z209" s="42"/>
      <c r="AA209" s="42"/>
      <c r="AB209" s="42"/>
      <c r="AC209" s="42"/>
      <c r="AD209" s="42"/>
      <c r="AE209" s="42"/>
      <c r="AF209" s="42"/>
      <c r="AG209" s="42"/>
      <c r="AH209" s="42"/>
      <c r="AI209" s="42"/>
      <c r="AJ209" s="42"/>
    </row>
    <row r="210" spans="1:36" ht="15.75">
      <c r="A210" s="797"/>
      <c r="B210" s="339"/>
      <c r="C210" s="42"/>
      <c r="D210" s="282"/>
      <c r="E210" s="42"/>
      <c r="F210" s="42"/>
      <c r="G210" s="42"/>
      <c r="H210" s="42"/>
      <c r="I210" s="42"/>
      <c r="J210" s="42"/>
      <c r="K210" s="42"/>
      <c r="L210" s="42"/>
      <c r="M210" s="42"/>
      <c r="N210" s="282"/>
      <c r="O210" s="42"/>
      <c r="P210" s="42"/>
      <c r="Q210" s="42"/>
      <c r="R210" s="42"/>
      <c r="S210" s="42"/>
      <c r="T210" s="42"/>
      <c r="U210" s="42"/>
      <c r="V210" s="42"/>
      <c r="W210" s="42"/>
      <c r="X210" s="42"/>
      <c r="Y210" s="42"/>
      <c r="Z210" s="42"/>
      <c r="AA210" s="42"/>
      <c r="AB210" s="42"/>
      <c r="AC210" s="42"/>
      <c r="AD210" s="42"/>
      <c r="AE210" s="42"/>
      <c r="AF210" s="42"/>
      <c r="AG210" s="42"/>
      <c r="AH210" s="42"/>
      <c r="AI210" s="42"/>
      <c r="AJ210" s="42"/>
    </row>
    <row r="211" spans="1:36" ht="15.75">
      <c r="A211" s="797"/>
      <c r="B211" s="339"/>
      <c r="C211" s="42"/>
      <c r="D211" s="282"/>
      <c r="E211" s="42"/>
      <c r="F211" s="42"/>
      <c r="G211" s="42"/>
      <c r="H211" s="42"/>
      <c r="I211" s="42"/>
      <c r="J211" s="42"/>
      <c r="K211" s="42"/>
      <c r="L211" s="42"/>
      <c r="M211" s="42"/>
      <c r="N211" s="282"/>
      <c r="O211" s="42"/>
      <c r="P211" s="42"/>
      <c r="Q211" s="42"/>
      <c r="R211" s="42"/>
      <c r="S211" s="42"/>
      <c r="T211" s="42"/>
      <c r="U211" s="42"/>
      <c r="V211" s="42"/>
      <c r="W211" s="42"/>
      <c r="X211" s="42"/>
      <c r="Y211" s="42"/>
      <c r="Z211" s="42"/>
      <c r="AA211" s="42"/>
      <c r="AB211" s="42"/>
      <c r="AC211" s="42"/>
      <c r="AD211" s="42"/>
      <c r="AE211" s="42"/>
      <c r="AF211" s="42"/>
      <c r="AG211" s="42"/>
      <c r="AH211" s="42"/>
      <c r="AI211" s="42"/>
      <c r="AJ211" s="42"/>
    </row>
    <row r="212" spans="1:36" ht="15.75">
      <c r="A212" s="797"/>
      <c r="B212" s="339"/>
      <c r="C212" s="42"/>
      <c r="D212" s="282"/>
      <c r="E212" s="42"/>
      <c r="F212" s="42"/>
      <c r="G212" s="42"/>
      <c r="H212" s="42"/>
      <c r="I212" s="42"/>
      <c r="J212" s="42"/>
      <c r="K212" s="42"/>
      <c r="L212" s="42"/>
      <c r="M212" s="42"/>
      <c r="N212" s="282"/>
      <c r="O212" s="42"/>
      <c r="P212" s="42"/>
      <c r="Q212" s="42"/>
      <c r="R212" s="42"/>
      <c r="S212" s="42"/>
      <c r="T212" s="42"/>
      <c r="U212" s="42"/>
      <c r="V212" s="42"/>
      <c r="W212" s="42"/>
      <c r="X212" s="42"/>
      <c r="Y212" s="42"/>
      <c r="Z212" s="42"/>
      <c r="AA212" s="42"/>
      <c r="AB212" s="42"/>
      <c r="AC212" s="42"/>
      <c r="AD212" s="42"/>
      <c r="AE212" s="42"/>
      <c r="AF212" s="42"/>
      <c r="AG212" s="42"/>
      <c r="AH212" s="42"/>
      <c r="AI212" s="42"/>
      <c r="AJ212" s="42"/>
    </row>
    <row r="213" spans="1:36" ht="15.75">
      <c r="A213" s="797"/>
      <c r="B213" s="339"/>
      <c r="C213" s="42"/>
      <c r="D213" s="282"/>
      <c r="E213" s="42"/>
      <c r="F213" s="42"/>
      <c r="G213" s="42"/>
      <c r="H213" s="42"/>
      <c r="I213" s="42"/>
      <c r="J213" s="42"/>
      <c r="K213" s="42"/>
      <c r="L213" s="42"/>
      <c r="M213" s="42"/>
      <c r="N213" s="282"/>
      <c r="O213" s="42"/>
      <c r="P213" s="42"/>
      <c r="Q213" s="42"/>
      <c r="R213" s="42"/>
      <c r="S213" s="42"/>
      <c r="T213" s="42"/>
      <c r="U213" s="42"/>
      <c r="V213" s="42"/>
      <c r="W213" s="42"/>
      <c r="X213" s="42"/>
      <c r="Y213" s="42"/>
      <c r="Z213" s="42"/>
      <c r="AA213" s="42"/>
      <c r="AB213" s="42"/>
      <c r="AC213" s="42"/>
      <c r="AD213" s="42"/>
      <c r="AE213" s="42"/>
      <c r="AF213" s="42"/>
      <c r="AG213" s="42"/>
      <c r="AH213" s="42"/>
      <c r="AI213" s="42"/>
      <c r="AJ213" s="42"/>
    </row>
    <row r="214" spans="1:36" ht="15.75">
      <c r="A214" s="797"/>
      <c r="B214" s="339"/>
      <c r="C214" s="42"/>
      <c r="D214" s="282"/>
      <c r="E214" s="42"/>
      <c r="F214" s="42"/>
      <c r="G214" s="42"/>
      <c r="H214" s="42"/>
      <c r="I214" s="42"/>
      <c r="J214" s="42"/>
      <c r="K214" s="42"/>
      <c r="L214" s="42"/>
      <c r="M214" s="42"/>
      <c r="N214" s="282"/>
      <c r="O214" s="42"/>
      <c r="P214" s="42"/>
      <c r="Q214" s="42"/>
      <c r="R214" s="42"/>
      <c r="S214" s="42"/>
      <c r="T214" s="42"/>
      <c r="U214" s="42"/>
      <c r="V214" s="42"/>
      <c r="W214" s="42"/>
      <c r="X214" s="42"/>
      <c r="Y214" s="42"/>
      <c r="Z214" s="42"/>
      <c r="AA214" s="42"/>
      <c r="AB214" s="42"/>
      <c r="AC214" s="42"/>
      <c r="AD214" s="42"/>
      <c r="AE214" s="42"/>
      <c r="AF214" s="42"/>
      <c r="AG214" s="42"/>
      <c r="AH214" s="42"/>
      <c r="AI214" s="42"/>
      <c r="AJ214" s="42"/>
    </row>
    <row r="215" spans="1:36" ht="15.75">
      <c r="A215" s="797"/>
      <c r="B215" s="339"/>
      <c r="C215" s="42"/>
      <c r="D215" s="282"/>
      <c r="E215" s="42"/>
      <c r="F215" s="42"/>
      <c r="G215" s="42"/>
      <c r="H215" s="42"/>
      <c r="I215" s="42"/>
      <c r="J215" s="42"/>
      <c r="K215" s="42"/>
      <c r="L215" s="42"/>
      <c r="M215" s="42"/>
      <c r="N215" s="282"/>
      <c r="O215" s="42"/>
      <c r="P215" s="42"/>
      <c r="Q215" s="42"/>
      <c r="R215" s="42"/>
      <c r="S215" s="42"/>
      <c r="T215" s="42"/>
      <c r="U215" s="42"/>
      <c r="V215" s="42"/>
      <c r="W215" s="42"/>
      <c r="X215" s="42"/>
      <c r="Y215" s="42"/>
      <c r="Z215" s="42"/>
      <c r="AA215" s="42"/>
      <c r="AB215" s="42"/>
      <c r="AC215" s="42"/>
      <c r="AD215" s="42"/>
      <c r="AE215" s="42"/>
      <c r="AF215" s="42"/>
      <c r="AG215" s="42"/>
      <c r="AH215" s="42"/>
      <c r="AI215" s="42"/>
      <c r="AJ215" s="42"/>
    </row>
    <row r="216" spans="1:36" ht="15.75">
      <c r="A216" s="797"/>
      <c r="B216" s="339"/>
      <c r="C216" s="42"/>
      <c r="D216" s="282"/>
      <c r="E216" s="42"/>
      <c r="F216" s="42"/>
      <c r="G216" s="42"/>
      <c r="H216" s="42"/>
      <c r="I216" s="42"/>
      <c r="J216" s="42"/>
      <c r="K216" s="42"/>
      <c r="L216" s="42"/>
      <c r="M216" s="42"/>
      <c r="N216" s="282"/>
      <c r="O216" s="42"/>
      <c r="P216" s="42"/>
      <c r="Q216" s="42"/>
      <c r="R216" s="42"/>
      <c r="S216" s="42"/>
      <c r="T216" s="42"/>
      <c r="U216" s="42"/>
      <c r="V216" s="42"/>
      <c r="W216" s="42"/>
      <c r="X216" s="42"/>
      <c r="Y216" s="42"/>
      <c r="Z216" s="42"/>
      <c r="AA216" s="42"/>
      <c r="AB216" s="42"/>
      <c r="AC216" s="42"/>
      <c r="AD216" s="42"/>
      <c r="AE216" s="42"/>
      <c r="AF216" s="42"/>
      <c r="AG216" s="42"/>
      <c r="AH216" s="42"/>
      <c r="AI216" s="42"/>
      <c r="AJ216" s="42"/>
    </row>
    <row r="217" spans="1:36" ht="15.75">
      <c r="A217" s="797"/>
      <c r="B217" s="339"/>
      <c r="C217" s="42"/>
      <c r="D217" s="282"/>
      <c r="E217" s="42"/>
      <c r="F217" s="42"/>
      <c r="G217" s="42"/>
      <c r="H217" s="42"/>
      <c r="I217" s="42"/>
      <c r="J217" s="42"/>
      <c r="K217" s="42"/>
      <c r="L217" s="42"/>
      <c r="M217" s="42"/>
      <c r="N217" s="282"/>
      <c r="O217" s="42"/>
      <c r="P217" s="42"/>
      <c r="Q217" s="42"/>
      <c r="R217" s="42"/>
      <c r="S217" s="42"/>
      <c r="T217" s="42"/>
      <c r="U217" s="42"/>
      <c r="V217" s="42"/>
      <c r="W217" s="42"/>
      <c r="X217" s="42"/>
      <c r="Y217" s="42"/>
      <c r="Z217" s="42"/>
      <c r="AA217" s="42"/>
      <c r="AB217" s="42"/>
      <c r="AC217" s="42"/>
      <c r="AD217" s="42"/>
      <c r="AE217" s="42"/>
      <c r="AF217" s="42"/>
      <c r="AG217" s="42"/>
      <c r="AH217" s="42"/>
      <c r="AI217" s="42"/>
      <c r="AJ217" s="42"/>
    </row>
    <row r="218" spans="1:36" ht="15.75">
      <c r="A218" s="797"/>
      <c r="B218" s="339"/>
      <c r="C218" s="42"/>
      <c r="D218" s="282"/>
      <c r="E218" s="42"/>
      <c r="F218" s="42"/>
      <c r="G218" s="42"/>
      <c r="H218" s="42"/>
      <c r="I218" s="42"/>
      <c r="J218" s="42"/>
      <c r="K218" s="42"/>
      <c r="L218" s="42"/>
      <c r="M218" s="42"/>
      <c r="N218" s="282"/>
      <c r="O218" s="42"/>
      <c r="P218" s="42"/>
      <c r="Q218" s="42"/>
      <c r="R218" s="42"/>
      <c r="S218" s="42"/>
      <c r="T218" s="42"/>
      <c r="U218" s="42"/>
      <c r="V218" s="42"/>
      <c r="W218" s="42"/>
      <c r="X218" s="42"/>
      <c r="Y218" s="42"/>
      <c r="Z218" s="42"/>
      <c r="AA218" s="42"/>
      <c r="AB218" s="42"/>
      <c r="AC218" s="42"/>
      <c r="AD218" s="42"/>
      <c r="AE218" s="42"/>
      <c r="AF218" s="42"/>
      <c r="AG218" s="42"/>
      <c r="AH218" s="42"/>
      <c r="AI218" s="42"/>
      <c r="AJ218" s="42"/>
    </row>
    <row r="219" spans="1:36" ht="15.75">
      <c r="A219" s="797"/>
      <c r="B219" s="339"/>
      <c r="C219" s="42"/>
      <c r="D219" s="282"/>
      <c r="E219" s="42"/>
      <c r="F219" s="42"/>
      <c r="G219" s="42"/>
      <c r="H219" s="42"/>
      <c r="I219" s="42"/>
      <c r="J219" s="42"/>
      <c r="K219" s="42"/>
      <c r="L219" s="42"/>
      <c r="M219" s="42"/>
      <c r="N219" s="282"/>
      <c r="O219" s="42"/>
      <c r="P219" s="42"/>
      <c r="Q219" s="42"/>
      <c r="R219" s="42"/>
      <c r="S219" s="42"/>
      <c r="T219" s="42"/>
      <c r="U219" s="42"/>
      <c r="V219" s="42"/>
      <c r="W219" s="42"/>
      <c r="X219" s="42"/>
      <c r="Y219" s="42"/>
      <c r="Z219" s="42"/>
      <c r="AA219" s="42"/>
      <c r="AB219" s="42"/>
      <c r="AC219" s="42"/>
      <c r="AD219" s="42"/>
      <c r="AE219" s="42"/>
      <c r="AF219" s="42"/>
      <c r="AG219" s="42"/>
      <c r="AH219" s="42"/>
      <c r="AI219" s="42"/>
      <c r="AJ219" s="42"/>
    </row>
    <row r="220" spans="1:36" ht="15.75">
      <c r="A220" s="797"/>
      <c r="B220" s="339"/>
      <c r="C220" s="42"/>
      <c r="D220" s="282"/>
      <c r="E220" s="42"/>
      <c r="F220" s="42"/>
      <c r="G220" s="42"/>
      <c r="H220" s="42"/>
      <c r="I220" s="42"/>
      <c r="J220" s="42"/>
      <c r="K220" s="42"/>
      <c r="L220" s="42"/>
      <c r="M220" s="42"/>
      <c r="N220" s="282"/>
      <c r="O220" s="42"/>
      <c r="P220" s="42"/>
      <c r="Q220" s="42"/>
      <c r="R220" s="42"/>
      <c r="S220" s="42"/>
      <c r="T220" s="42"/>
      <c r="U220" s="42"/>
      <c r="V220" s="42"/>
      <c r="W220" s="42"/>
      <c r="X220" s="42"/>
      <c r="Y220" s="42"/>
      <c r="Z220" s="42"/>
      <c r="AA220" s="42"/>
      <c r="AB220" s="42"/>
      <c r="AC220" s="42"/>
      <c r="AD220" s="42"/>
      <c r="AE220" s="42"/>
      <c r="AF220" s="42"/>
      <c r="AG220" s="42"/>
      <c r="AH220" s="42"/>
      <c r="AI220" s="42"/>
      <c r="AJ220" s="42"/>
    </row>
    <row r="221" spans="1:36" ht="15.75">
      <c r="A221" s="797"/>
      <c r="B221" s="339"/>
      <c r="C221" s="42"/>
      <c r="D221" s="282"/>
      <c r="E221" s="42"/>
      <c r="F221" s="42"/>
      <c r="G221" s="42"/>
      <c r="H221" s="42"/>
      <c r="I221" s="42"/>
      <c r="J221" s="42"/>
      <c r="K221" s="42"/>
      <c r="L221" s="42"/>
      <c r="M221" s="42"/>
      <c r="N221" s="282"/>
      <c r="O221" s="42"/>
      <c r="P221" s="42"/>
      <c r="Q221" s="42"/>
      <c r="R221" s="42"/>
      <c r="S221" s="42"/>
      <c r="T221" s="42"/>
      <c r="U221" s="42"/>
      <c r="V221" s="42"/>
      <c r="W221" s="42"/>
      <c r="X221" s="42"/>
      <c r="Y221" s="42"/>
      <c r="Z221" s="42"/>
      <c r="AA221" s="42"/>
      <c r="AB221" s="42"/>
      <c r="AC221" s="42"/>
      <c r="AD221" s="42"/>
      <c r="AE221" s="42"/>
      <c r="AF221" s="42"/>
      <c r="AG221" s="42"/>
      <c r="AH221" s="42"/>
      <c r="AI221" s="42"/>
      <c r="AJ221" s="42"/>
    </row>
    <row r="222" spans="1:36" ht="15.75">
      <c r="A222" s="797"/>
      <c r="B222" s="339"/>
      <c r="C222" s="42"/>
      <c r="D222" s="282"/>
      <c r="E222" s="42"/>
      <c r="F222" s="42"/>
      <c r="G222" s="42"/>
      <c r="H222" s="42"/>
      <c r="I222" s="42"/>
      <c r="J222" s="42"/>
      <c r="K222" s="42"/>
      <c r="L222" s="42"/>
      <c r="M222" s="42"/>
      <c r="N222" s="282"/>
      <c r="O222" s="42"/>
      <c r="P222" s="42"/>
      <c r="Q222" s="42"/>
      <c r="R222" s="42"/>
      <c r="S222" s="42"/>
      <c r="T222" s="42"/>
      <c r="U222" s="42"/>
      <c r="V222" s="42"/>
      <c r="W222" s="42"/>
      <c r="X222" s="42"/>
      <c r="Y222" s="42"/>
      <c r="Z222" s="42"/>
      <c r="AA222" s="42"/>
      <c r="AB222" s="42"/>
      <c r="AC222" s="42"/>
      <c r="AD222" s="42"/>
      <c r="AE222" s="42"/>
      <c r="AF222" s="42"/>
      <c r="AG222" s="42"/>
      <c r="AH222" s="42"/>
      <c r="AI222" s="42"/>
      <c r="AJ222" s="42"/>
    </row>
    <row r="223" spans="1:36" ht="15.75">
      <c r="A223" s="797"/>
      <c r="B223" s="339"/>
      <c r="C223" s="42"/>
      <c r="D223" s="282"/>
      <c r="E223" s="42"/>
      <c r="F223" s="42"/>
      <c r="G223" s="42"/>
      <c r="H223" s="42"/>
      <c r="I223" s="42"/>
      <c r="J223" s="42"/>
      <c r="K223" s="42"/>
      <c r="L223" s="42"/>
      <c r="M223" s="42"/>
      <c r="N223" s="282"/>
      <c r="O223" s="42"/>
      <c r="P223" s="42"/>
      <c r="Q223" s="42"/>
      <c r="R223" s="42"/>
      <c r="S223" s="42"/>
      <c r="T223" s="42"/>
      <c r="U223" s="42"/>
      <c r="V223" s="42"/>
      <c r="W223" s="42"/>
      <c r="X223" s="42"/>
      <c r="Y223" s="42"/>
      <c r="Z223" s="42"/>
      <c r="AA223" s="42"/>
      <c r="AB223" s="42"/>
      <c r="AC223" s="42"/>
      <c r="AD223" s="42"/>
      <c r="AE223" s="42"/>
      <c r="AF223" s="42"/>
      <c r="AG223" s="42"/>
      <c r="AH223" s="42"/>
      <c r="AI223" s="42"/>
      <c r="AJ223" s="42"/>
    </row>
    <row r="224" spans="1:36" ht="15.75">
      <c r="A224" s="797"/>
      <c r="B224" s="339"/>
      <c r="C224" s="42"/>
      <c r="D224" s="282"/>
      <c r="E224" s="42"/>
      <c r="F224" s="42"/>
      <c r="G224" s="42"/>
      <c r="H224" s="42"/>
      <c r="I224" s="42"/>
      <c r="J224" s="42"/>
      <c r="K224" s="42"/>
      <c r="L224" s="42"/>
      <c r="M224" s="42"/>
      <c r="N224" s="282"/>
      <c r="O224" s="42"/>
      <c r="P224" s="42"/>
      <c r="Q224" s="42"/>
      <c r="R224" s="42"/>
      <c r="S224" s="42"/>
      <c r="T224" s="42"/>
      <c r="U224" s="42"/>
      <c r="V224" s="42"/>
      <c r="W224" s="42"/>
      <c r="X224" s="42"/>
      <c r="Y224" s="42"/>
      <c r="Z224" s="42"/>
      <c r="AA224" s="42"/>
      <c r="AB224" s="42"/>
      <c r="AC224" s="42"/>
      <c r="AD224" s="42"/>
      <c r="AE224" s="42"/>
      <c r="AF224" s="42"/>
      <c r="AG224" s="42"/>
      <c r="AH224" s="42"/>
      <c r="AI224" s="42"/>
      <c r="AJ224" s="42"/>
    </row>
    <row r="225" spans="1:36" ht="15.75">
      <c r="A225" s="797"/>
      <c r="B225" s="339"/>
      <c r="C225" s="42"/>
      <c r="D225" s="282"/>
      <c r="E225" s="42"/>
      <c r="F225" s="42"/>
      <c r="G225" s="42"/>
      <c r="H225" s="42"/>
      <c r="I225" s="42"/>
      <c r="J225" s="42"/>
      <c r="K225" s="42"/>
      <c r="L225" s="42"/>
      <c r="M225" s="42"/>
      <c r="N225" s="282"/>
      <c r="O225" s="42"/>
      <c r="P225" s="42"/>
      <c r="Q225" s="42"/>
      <c r="R225" s="42"/>
      <c r="S225" s="42"/>
      <c r="T225" s="42"/>
      <c r="U225" s="42"/>
      <c r="V225" s="42"/>
      <c r="W225" s="42"/>
      <c r="X225" s="42"/>
      <c r="Y225" s="42"/>
      <c r="Z225" s="42"/>
      <c r="AA225" s="42"/>
      <c r="AB225" s="42"/>
      <c r="AC225" s="42"/>
      <c r="AD225" s="42"/>
      <c r="AE225" s="42"/>
      <c r="AF225" s="42"/>
      <c r="AG225" s="42"/>
      <c r="AH225" s="42"/>
      <c r="AI225" s="42"/>
      <c r="AJ225" s="42"/>
    </row>
    <row r="226" spans="1:36" ht="15.75">
      <c r="A226" s="797"/>
      <c r="B226" s="339"/>
      <c r="C226" s="42"/>
      <c r="D226" s="282"/>
      <c r="E226" s="42"/>
      <c r="F226" s="42"/>
      <c r="G226" s="42"/>
      <c r="H226" s="42"/>
      <c r="I226" s="42"/>
      <c r="J226" s="42"/>
      <c r="K226" s="42"/>
      <c r="L226" s="42"/>
      <c r="M226" s="42"/>
      <c r="N226" s="282"/>
      <c r="O226" s="42"/>
      <c r="P226" s="42"/>
      <c r="Q226" s="42"/>
      <c r="R226" s="42"/>
      <c r="S226" s="42"/>
      <c r="T226" s="42"/>
      <c r="U226" s="42"/>
      <c r="V226" s="42"/>
      <c r="W226" s="42"/>
      <c r="X226" s="42"/>
      <c r="Y226" s="42"/>
      <c r="Z226" s="42"/>
      <c r="AA226" s="42"/>
      <c r="AB226" s="42"/>
      <c r="AC226" s="42"/>
      <c r="AD226" s="42"/>
      <c r="AE226" s="42"/>
      <c r="AF226" s="42"/>
      <c r="AG226" s="42"/>
      <c r="AH226" s="42"/>
      <c r="AI226" s="42"/>
      <c r="AJ226" s="42"/>
    </row>
    <row r="227" spans="1:36" ht="15.75">
      <c r="A227" s="797"/>
      <c r="B227" s="339"/>
      <c r="C227" s="42"/>
      <c r="D227" s="282"/>
      <c r="E227" s="42"/>
      <c r="F227" s="42"/>
      <c r="G227" s="42"/>
      <c r="H227" s="42"/>
      <c r="I227" s="42"/>
      <c r="J227" s="42"/>
      <c r="K227" s="42"/>
      <c r="L227" s="42"/>
      <c r="M227" s="42"/>
      <c r="N227" s="282"/>
      <c r="O227" s="42"/>
      <c r="P227" s="42"/>
      <c r="Q227" s="42"/>
      <c r="R227" s="42"/>
      <c r="S227" s="42"/>
      <c r="T227" s="42"/>
      <c r="U227" s="42"/>
      <c r="V227" s="42"/>
      <c r="W227" s="42"/>
      <c r="X227" s="42"/>
      <c r="Y227" s="42"/>
      <c r="Z227" s="42"/>
      <c r="AA227" s="42"/>
      <c r="AB227" s="42"/>
      <c r="AC227" s="42"/>
      <c r="AD227" s="42"/>
      <c r="AE227" s="42"/>
      <c r="AF227" s="42"/>
      <c r="AG227" s="42"/>
      <c r="AH227" s="42"/>
      <c r="AI227" s="42"/>
      <c r="AJ227" s="42"/>
    </row>
    <row r="228" spans="1:36" ht="15.75">
      <c r="A228" s="797"/>
      <c r="B228" s="339"/>
      <c r="C228" s="42"/>
      <c r="D228" s="282"/>
      <c r="E228" s="42"/>
      <c r="F228" s="42"/>
      <c r="G228" s="42"/>
      <c r="H228" s="42"/>
      <c r="I228" s="42"/>
      <c r="J228" s="42"/>
      <c r="K228" s="42"/>
      <c r="L228" s="42"/>
      <c r="M228" s="42"/>
      <c r="N228" s="282"/>
      <c r="O228" s="42"/>
      <c r="P228" s="42"/>
      <c r="Q228" s="42"/>
      <c r="R228" s="42"/>
      <c r="S228" s="42"/>
      <c r="T228" s="42"/>
      <c r="U228" s="42"/>
      <c r="V228" s="42"/>
      <c r="W228" s="42"/>
      <c r="X228" s="42"/>
      <c r="Y228" s="42"/>
      <c r="Z228" s="42"/>
      <c r="AA228" s="42"/>
      <c r="AB228" s="42"/>
      <c r="AC228" s="42"/>
      <c r="AD228" s="42"/>
      <c r="AE228" s="42"/>
      <c r="AF228" s="42"/>
      <c r="AG228" s="42"/>
      <c r="AH228" s="42"/>
      <c r="AI228" s="42"/>
      <c r="AJ228" s="42"/>
    </row>
    <row r="229" spans="1:36" ht="15.75">
      <c r="A229" s="797"/>
      <c r="B229" s="339"/>
      <c r="C229" s="42"/>
      <c r="D229" s="282"/>
      <c r="E229" s="42"/>
      <c r="F229" s="42"/>
      <c r="G229" s="42"/>
      <c r="H229" s="42"/>
      <c r="I229" s="42"/>
      <c r="J229" s="42"/>
      <c r="K229" s="42"/>
      <c r="L229" s="42"/>
      <c r="M229" s="42"/>
      <c r="N229" s="282"/>
      <c r="O229" s="42"/>
      <c r="P229" s="42"/>
      <c r="Q229" s="42"/>
      <c r="R229" s="42"/>
      <c r="S229" s="42"/>
      <c r="T229" s="42"/>
      <c r="U229" s="42"/>
      <c r="V229" s="42"/>
      <c r="W229" s="42"/>
      <c r="X229" s="42"/>
      <c r="Y229" s="42"/>
      <c r="Z229" s="42"/>
      <c r="AA229" s="42"/>
      <c r="AB229" s="42"/>
      <c r="AC229" s="42"/>
      <c r="AD229" s="42"/>
      <c r="AE229" s="42"/>
      <c r="AF229" s="42"/>
      <c r="AG229" s="42"/>
      <c r="AH229" s="42"/>
      <c r="AI229" s="42"/>
      <c r="AJ229" s="42"/>
    </row>
    <row r="230" spans="1:36" ht="15.75">
      <c r="A230" s="797"/>
      <c r="B230" s="339"/>
      <c r="C230" s="42"/>
      <c r="D230" s="282"/>
      <c r="E230" s="42"/>
      <c r="F230" s="42"/>
      <c r="G230" s="42"/>
      <c r="H230" s="42"/>
      <c r="I230" s="42"/>
      <c r="J230" s="42"/>
      <c r="K230" s="42"/>
      <c r="L230" s="42"/>
      <c r="M230" s="42"/>
      <c r="N230" s="282"/>
      <c r="O230" s="42"/>
      <c r="P230" s="42"/>
      <c r="Q230" s="42"/>
      <c r="R230" s="42"/>
      <c r="S230" s="42"/>
      <c r="T230" s="42"/>
      <c r="U230" s="42"/>
      <c r="V230" s="42"/>
      <c r="W230" s="42"/>
      <c r="X230" s="42"/>
      <c r="Y230" s="42"/>
      <c r="Z230" s="42"/>
      <c r="AA230" s="42"/>
      <c r="AB230" s="42"/>
      <c r="AC230" s="42"/>
      <c r="AD230" s="42"/>
      <c r="AE230" s="42"/>
      <c r="AF230" s="42"/>
      <c r="AG230" s="42"/>
      <c r="AH230" s="42"/>
      <c r="AI230" s="42"/>
      <c r="AJ230" s="42"/>
    </row>
    <row r="231" spans="1:36" ht="15.75">
      <c r="A231" s="797"/>
      <c r="B231" s="339"/>
      <c r="C231" s="42"/>
      <c r="D231" s="282"/>
      <c r="E231" s="42"/>
      <c r="F231" s="42"/>
      <c r="G231" s="42"/>
      <c r="H231" s="42"/>
      <c r="I231" s="42"/>
      <c r="J231" s="42"/>
      <c r="K231" s="42"/>
      <c r="L231" s="42"/>
      <c r="M231" s="42"/>
      <c r="N231" s="282"/>
      <c r="O231" s="42"/>
      <c r="P231" s="42"/>
      <c r="Q231" s="42"/>
      <c r="R231" s="42"/>
      <c r="S231" s="42"/>
      <c r="T231" s="42"/>
      <c r="U231" s="42"/>
      <c r="V231" s="42"/>
      <c r="W231" s="42"/>
      <c r="X231" s="42"/>
      <c r="Y231" s="42"/>
      <c r="Z231" s="42"/>
      <c r="AA231" s="42"/>
      <c r="AB231" s="42"/>
      <c r="AC231" s="42"/>
      <c r="AD231" s="42"/>
      <c r="AE231" s="42"/>
      <c r="AF231" s="42"/>
      <c r="AG231" s="42"/>
      <c r="AH231" s="42"/>
      <c r="AI231" s="42"/>
      <c r="AJ231" s="42"/>
    </row>
    <row r="232" spans="1:36" ht="15.75">
      <c r="A232" s="797"/>
      <c r="B232" s="339"/>
      <c r="C232" s="42"/>
      <c r="D232" s="282"/>
      <c r="E232" s="42"/>
      <c r="F232" s="42"/>
      <c r="G232" s="42"/>
      <c r="H232" s="42"/>
      <c r="I232" s="42"/>
      <c r="J232" s="42"/>
      <c r="K232" s="42"/>
      <c r="L232" s="42"/>
      <c r="M232" s="42"/>
      <c r="N232" s="282"/>
      <c r="O232" s="42"/>
      <c r="P232" s="42"/>
      <c r="Q232" s="42"/>
      <c r="R232" s="42"/>
      <c r="S232" s="42"/>
      <c r="T232" s="42"/>
      <c r="U232" s="42"/>
      <c r="V232" s="42"/>
      <c r="W232" s="42"/>
      <c r="X232" s="42"/>
      <c r="Y232" s="42"/>
      <c r="Z232" s="42"/>
      <c r="AA232" s="42"/>
      <c r="AB232" s="42"/>
      <c r="AC232" s="42"/>
      <c r="AD232" s="42"/>
      <c r="AE232" s="42"/>
      <c r="AF232" s="42"/>
      <c r="AG232" s="42"/>
      <c r="AH232" s="42"/>
      <c r="AI232" s="42"/>
      <c r="AJ232" s="42"/>
    </row>
    <row r="233" spans="1:36" ht="15.75">
      <c r="A233" s="797"/>
      <c r="B233" s="339"/>
      <c r="C233" s="42"/>
      <c r="D233" s="282"/>
      <c r="E233" s="42"/>
      <c r="F233" s="42"/>
      <c r="G233" s="42"/>
      <c r="H233" s="42"/>
      <c r="I233" s="42"/>
      <c r="J233" s="42"/>
      <c r="K233" s="42"/>
      <c r="L233" s="42"/>
      <c r="M233" s="42"/>
      <c r="N233" s="282"/>
      <c r="O233" s="42"/>
      <c r="P233" s="42"/>
      <c r="Q233" s="42"/>
      <c r="R233" s="42"/>
      <c r="S233" s="42"/>
      <c r="T233" s="42"/>
      <c r="U233" s="42"/>
      <c r="V233" s="42"/>
      <c r="W233" s="42"/>
      <c r="X233" s="42"/>
      <c r="Y233" s="42"/>
      <c r="Z233" s="42"/>
      <c r="AA233" s="42"/>
      <c r="AB233" s="42"/>
      <c r="AC233" s="42"/>
      <c r="AD233" s="42"/>
      <c r="AE233" s="42"/>
      <c r="AF233" s="42"/>
      <c r="AG233" s="42"/>
      <c r="AH233" s="42"/>
      <c r="AI233" s="42"/>
      <c r="AJ233" s="42"/>
    </row>
    <row r="234" spans="1:36" ht="15.75">
      <c r="A234" s="797"/>
      <c r="B234" s="339"/>
      <c r="C234" s="42"/>
      <c r="D234" s="282"/>
      <c r="E234" s="42"/>
      <c r="F234" s="42"/>
      <c r="G234" s="42"/>
      <c r="H234" s="42"/>
      <c r="I234" s="42"/>
      <c r="J234" s="42"/>
      <c r="K234" s="42"/>
      <c r="L234" s="42"/>
      <c r="M234" s="42"/>
      <c r="N234" s="282"/>
      <c r="O234" s="42"/>
      <c r="P234" s="42"/>
      <c r="Q234" s="42"/>
      <c r="R234" s="42"/>
      <c r="S234" s="42"/>
      <c r="T234" s="42"/>
      <c r="U234" s="42"/>
      <c r="V234" s="42"/>
      <c r="W234" s="42"/>
      <c r="X234" s="42"/>
      <c r="Y234" s="42"/>
      <c r="Z234" s="42"/>
      <c r="AA234" s="42"/>
      <c r="AB234" s="42"/>
      <c r="AC234" s="42"/>
      <c r="AD234" s="42"/>
      <c r="AE234" s="42"/>
      <c r="AF234" s="42"/>
      <c r="AG234" s="42"/>
      <c r="AH234" s="42"/>
      <c r="AI234" s="42"/>
      <c r="AJ234" s="42"/>
    </row>
    <row r="235" spans="1:36" ht="15.75">
      <c r="A235" s="797"/>
      <c r="B235" s="339"/>
      <c r="C235" s="42"/>
      <c r="D235" s="282"/>
      <c r="E235" s="42"/>
      <c r="F235" s="42"/>
      <c r="G235" s="42"/>
      <c r="H235" s="42"/>
      <c r="I235" s="42"/>
      <c r="J235" s="42"/>
      <c r="K235" s="42"/>
      <c r="L235" s="42"/>
      <c r="M235" s="42"/>
      <c r="N235" s="282"/>
      <c r="O235" s="42"/>
      <c r="P235" s="42"/>
      <c r="Q235" s="42"/>
      <c r="R235" s="42"/>
      <c r="S235" s="42"/>
      <c r="T235" s="42"/>
      <c r="U235" s="42"/>
      <c r="V235" s="42"/>
      <c r="W235" s="42"/>
      <c r="X235" s="42"/>
      <c r="Y235" s="42"/>
      <c r="Z235" s="42"/>
      <c r="AA235" s="42"/>
      <c r="AB235" s="42"/>
      <c r="AC235" s="42"/>
      <c r="AD235" s="42"/>
      <c r="AE235" s="42"/>
      <c r="AF235" s="42"/>
      <c r="AG235" s="42"/>
      <c r="AH235" s="42"/>
      <c r="AI235" s="42"/>
      <c r="AJ235" s="42"/>
    </row>
    <row r="236" spans="1:36" ht="15.75">
      <c r="A236" s="797"/>
      <c r="B236" s="339"/>
      <c r="C236" s="42"/>
      <c r="D236" s="282"/>
      <c r="E236" s="42"/>
      <c r="F236" s="42"/>
      <c r="G236" s="42"/>
      <c r="H236" s="42"/>
      <c r="I236" s="42"/>
      <c r="J236" s="42"/>
      <c r="K236" s="42"/>
      <c r="L236" s="42"/>
      <c r="M236" s="42"/>
      <c r="N236" s="282"/>
      <c r="O236" s="42"/>
      <c r="P236" s="42"/>
      <c r="Q236" s="42"/>
      <c r="R236" s="42"/>
      <c r="S236" s="42"/>
      <c r="T236" s="42"/>
      <c r="U236" s="42"/>
      <c r="V236" s="42"/>
      <c r="W236" s="42"/>
      <c r="X236" s="42"/>
      <c r="Y236" s="42"/>
      <c r="Z236" s="42"/>
      <c r="AA236" s="42"/>
      <c r="AB236" s="42"/>
      <c r="AC236" s="42"/>
      <c r="AD236" s="42"/>
      <c r="AE236" s="42"/>
      <c r="AF236" s="42"/>
      <c r="AG236" s="42"/>
      <c r="AH236" s="42"/>
      <c r="AI236" s="42"/>
      <c r="AJ236" s="42"/>
    </row>
    <row r="237" spans="1:36" ht="15.75">
      <c r="A237" s="797"/>
      <c r="B237" s="339"/>
      <c r="C237" s="42"/>
      <c r="D237" s="282"/>
      <c r="E237" s="42"/>
      <c r="F237" s="42"/>
      <c r="G237" s="42"/>
      <c r="H237" s="42"/>
      <c r="I237" s="42"/>
      <c r="J237" s="42"/>
      <c r="K237" s="42"/>
      <c r="L237" s="42"/>
      <c r="M237" s="42"/>
      <c r="N237" s="282"/>
      <c r="O237" s="42"/>
      <c r="P237" s="42"/>
      <c r="Q237" s="42"/>
      <c r="R237" s="42"/>
      <c r="S237" s="42"/>
      <c r="T237" s="42"/>
      <c r="U237" s="42"/>
      <c r="V237" s="42"/>
      <c r="W237" s="42"/>
      <c r="X237" s="42"/>
      <c r="Y237" s="42"/>
      <c r="Z237" s="42"/>
      <c r="AA237" s="42"/>
      <c r="AB237" s="42"/>
      <c r="AC237" s="42"/>
      <c r="AD237" s="42"/>
      <c r="AE237" s="42"/>
      <c r="AF237" s="42"/>
      <c r="AG237" s="42"/>
      <c r="AH237" s="42"/>
      <c r="AI237" s="42"/>
      <c r="AJ237" s="42"/>
    </row>
    <row r="238" spans="1:36" ht="15.75">
      <c r="A238" s="797"/>
      <c r="B238" s="339"/>
      <c r="C238" s="42"/>
      <c r="D238" s="282"/>
      <c r="E238" s="42"/>
      <c r="F238" s="42"/>
      <c r="G238" s="42"/>
      <c r="H238" s="42"/>
      <c r="I238" s="42"/>
      <c r="J238" s="42"/>
      <c r="K238" s="42"/>
      <c r="L238" s="42"/>
      <c r="M238" s="42"/>
      <c r="N238" s="282"/>
      <c r="O238" s="42"/>
      <c r="P238" s="42"/>
      <c r="Q238" s="42"/>
      <c r="R238" s="42"/>
      <c r="S238" s="42"/>
      <c r="T238" s="42"/>
      <c r="U238" s="42"/>
      <c r="V238" s="42"/>
      <c r="W238" s="42"/>
      <c r="X238" s="42"/>
      <c r="Y238" s="42"/>
      <c r="Z238" s="42"/>
      <c r="AA238" s="42"/>
      <c r="AB238" s="42"/>
      <c r="AC238" s="42"/>
      <c r="AD238" s="42"/>
      <c r="AE238" s="42"/>
      <c r="AF238" s="42"/>
      <c r="AG238" s="42"/>
      <c r="AH238" s="42"/>
      <c r="AI238" s="42"/>
      <c r="AJ238" s="42"/>
    </row>
    <row r="239" spans="1:36" ht="15.75">
      <c r="A239" s="797"/>
      <c r="B239" s="339"/>
      <c r="C239" s="42"/>
      <c r="D239" s="282"/>
      <c r="E239" s="42"/>
      <c r="F239" s="42"/>
      <c r="G239" s="42"/>
      <c r="H239" s="42"/>
      <c r="I239" s="42"/>
      <c r="J239" s="42"/>
      <c r="K239" s="42"/>
      <c r="L239" s="42"/>
      <c r="M239" s="42"/>
      <c r="N239" s="282"/>
      <c r="O239" s="42"/>
      <c r="P239" s="42"/>
      <c r="Q239" s="42"/>
      <c r="R239" s="42"/>
      <c r="S239" s="42"/>
      <c r="T239" s="42"/>
      <c r="U239" s="42"/>
      <c r="V239" s="42"/>
      <c r="W239" s="42"/>
      <c r="X239" s="42"/>
      <c r="Y239" s="42"/>
      <c r="Z239" s="42"/>
      <c r="AA239" s="42"/>
      <c r="AB239" s="42"/>
      <c r="AC239" s="42"/>
      <c r="AD239" s="42"/>
      <c r="AE239" s="42"/>
      <c r="AF239" s="42"/>
      <c r="AG239" s="42"/>
      <c r="AH239" s="42"/>
      <c r="AI239" s="42"/>
      <c r="AJ239" s="42"/>
    </row>
    <row r="240" spans="1:36" ht="15.75">
      <c r="A240" s="797"/>
      <c r="B240" s="339"/>
      <c r="C240" s="42"/>
      <c r="D240" s="282"/>
      <c r="E240" s="42"/>
      <c r="F240" s="42"/>
      <c r="G240" s="42"/>
      <c r="H240" s="42"/>
      <c r="I240" s="42"/>
      <c r="J240" s="42"/>
      <c r="K240" s="42"/>
      <c r="L240" s="42"/>
      <c r="M240" s="42"/>
      <c r="N240" s="282"/>
      <c r="O240" s="42"/>
      <c r="P240" s="42"/>
      <c r="Q240" s="42"/>
      <c r="R240" s="42"/>
      <c r="S240" s="42"/>
      <c r="T240" s="42"/>
      <c r="U240" s="42"/>
      <c r="V240" s="42"/>
      <c r="W240" s="42"/>
      <c r="X240" s="42"/>
      <c r="Y240" s="42"/>
      <c r="Z240" s="42"/>
      <c r="AA240" s="42"/>
      <c r="AB240" s="42"/>
      <c r="AC240" s="42"/>
      <c r="AD240" s="42"/>
      <c r="AE240" s="42"/>
      <c r="AF240" s="42"/>
      <c r="AG240" s="42"/>
      <c r="AH240" s="42"/>
      <c r="AI240" s="42"/>
      <c r="AJ240" s="42"/>
    </row>
    <row r="241" spans="1:36" ht="15.75">
      <c r="A241" s="797"/>
      <c r="B241" s="339"/>
      <c r="C241" s="42"/>
      <c r="D241" s="282"/>
      <c r="E241" s="42"/>
      <c r="F241" s="42"/>
      <c r="G241" s="42"/>
      <c r="H241" s="42"/>
      <c r="I241" s="42"/>
      <c r="J241" s="42"/>
      <c r="K241" s="42"/>
      <c r="L241" s="42"/>
      <c r="M241" s="42"/>
      <c r="N241" s="282"/>
      <c r="O241" s="42"/>
      <c r="P241" s="42"/>
      <c r="Q241" s="42"/>
      <c r="R241" s="42"/>
      <c r="S241" s="42"/>
      <c r="T241" s="42"/>
      <c r="U241" s="42"/>
      <c r="V241" s="42"/>
      <c r="W241" s="42"/>
      <c r="X241" s="42"/>
      <c r="Y241" s="42"/>
      <c r="Z241" s="42"/>
      <c r="AA241" s="42"/>
      <c r="AB241" s="42"/>
      <c r="AC241" s="42"/>
      <c r="AD241" s="42"/>
      <c r="AE241" s="42"/>
      <c r="AF241" s="42"/>
      <c r="AG241" s="42"/>
      <c r="AH241" s="42"/>
      <c r="AI241" s="42"/>
      <c r="AJ241" s="42"/>
    </row>
    <row r="242" spans="1:36" ht="15.75">
      <c r="A242" s="797"/>
      <c r="B242" s="339"/>
      <c r="C242" s="42"/>
      <c r="D242" s="282"/>
      <c r="E242" s="42"/>
      <c r="F242" s="42"/>
      <c r="G242" s="42"/>
      <c r="H242" s="42"/>
      <c r="I242" s="42"/>
      <c r="J242" s="42"/>
      <c r="K242" s="42"/>
      <c r="L242" s="42"/>
      <c r="M242" s="42"/>
      <c r="N242" s="282"/>
      <c r="O242" s="42"/>
      <c r="P242" s="42"/>
      <c r="Q242" s="42"/>
      <c r="R242" s="42"/>
      <c r="S242" s="42"/>
      <c r="T242" s="42"/>
      <c r="U242" s="42"/>
      <c r="V242" s="42"/>
      <c r="W242" s="42"/>
      <c r="X242" s="42"/>
      <c r="Y242" s="42"/>
      <c r="Z242" s="42"/>
      <c r="AA242" s="42"/>
      <c r="AB242" s="42"/>
      <c r="AC242" s="42"/>
      <c r="AD242" s="42"/>
      <c r="AE242" s="42"/>
      <c r="AF242" s="42"/>
      <c r="AG242" s="42"/>
      <c r="AH242" s="42"/>
      <c r="AI242" s="42"/>
      <c r="AJ242" s="42"/>
    </row>
    <row r="243" spans="1:36" ht="15.75">
      <c r="A243" s="797"/>
      <c r="B243" s="339"/>
      <c r="C243" s="42"/>
      <c r="D243" s="282"/>
      <c r="E243" s="42"/>
      <c r="F243" s="42"/>
      <c r="G243" s="42"/>
      <c r="H243" s="42"/>
      <c r="I243" s="42"/>
      <c r="J243" s="42"/>
      <c r="K243" s="42"/>
      <c r="L243" s="42"/>
      <c r="M243" s="42"/>
      <c r="N243" s="282"/>
      <c r="O243" s="42"/>
      <c r="P243" s="42"/>
      <c r="Q243" s="42"/>
      <c r="R243" s="42"/>
      <c r="S243" s="42"/>
      <c r="T243" s="42"/>
      <c r="U243" s="42"/>
      <c r="V243" s="42"/>
      <c r="W243" s="42"/>
      <c r="X243" s="42"/>
      <c r="Y243" s="42"/>
      <c r="Z243" s="42"/>
      <c r="AA243" s="42"/>
      <c r="AB243" s="42"/>
      <c r="AC243" s="42"/>
      <c r="AD243" s="42"/>
      <c r="AE243" s="42"/>
      <c r="AF243" s="42"/>
      <c r="AG243" s="42"/>
      <c r="AH243" s="42"/>
      <c r="AI243" s="42"/>
      <c r="AJ243" s="42"/>
    </row>
    <row r="244" spans="1:36" ht="15.75">
      <c r="A244" s="797"/>
      <c r="B244" s="339"/>
      <c r="C244" s="42"/>
      <c r="D244" s="282"/>
      <c r="E244" s="42"/>
      <c r="F244" s="42"/>
      <c r="G244" s="42"/>
      <c r="H244" s="42"/>
      <c r="I244" s="42"/>
      <c r="J244" s="42"/>
      <c r="K244" s="42"/>
      <c r="L244" s="42"/>
      <c r="M244" s="42"/>
      <c r="N244" s="282"/>
      <c r="O244" s="42"/>
      <c r="P244" s="42"/>
      <c r="Q244" s="42"/>
      <c r="R244" s="42"/>
      <c r="S244" s="42"/>
      <c r="T244" s="42"/>
      <c r="U244" s="42"/>
      <c r="V244" s="42"/>
      <c r="W244" s="42"/>
      <c r="X244" s="42"/>
      <c r="Y244" s="42"/>
      <c r="Z244" s="42"/>
      <c r="AA244" s="42"/>
      <c r="AB244" s="42"/>
      <c r="AC244" s="42"/>
      <c r="AD244" s="42"/>
      <c r="AE244" s="42"/>
      <c r="AF244" s="42"/>
      <c r="AG244" s="42"/>
      <c r="AH244" s="42"/>
      <c r="AI244" s="42"/>
      <c r="AJ244" s="42"/>
    </row>
    <row r="245" spans="1:36" ht="15.75">
      <c r="A245" s="797"/>
      <c r="B245" s="339"/>
      <c r="C245" s="42"/>
      <c r="D245" s="282"/>
      <c r="E245" s="42"/>
      <c r="F245" s="42"/>
      <c r="G245" s="42"/>
      <c r="H245" s="42"/>
      <c r="I245" s="42"/>
      <c r="J245" s="42"/>
      <c r="K245" s="42"/>
      <c r="L245" s="42"/>
      <c r="M245" s="42"/>
      <c r="N245" s="282"/>
      <c r="O245" s="42"/>
      <c r="P245" s="42"/>
      <c r="Q245" s="42"/>
      <c r="R245" s="42"/>
      <c r="S245" s="42"/>
      <c r="T245" s="42"/>
      <c r="U245" s="42"/>
      <c r="V245" s="42"/>
      <c r="W245" s="42"/>
      <c r="X245" s="42"/>
      <c r="Y245" s="42"/>
      <c r="Z245" s="42"/>
      <c r="AA245" s="42"/>
      <c r="AB245" s="42"/>
      <c r="AC245" s="42"/>
      <c r="AD245" s="42"/>
      <c r="AE245" s="42"/>
      <c r="AF245" s="42"/>
      <c r="AG245" s="42"/>
      <c r="AH245" s="42"/>
      <c r="AI245" s="42"/>
      <c r="AJ245" s="42"/>
    </row>
    <row r="246" spans="1:36" ht="15.75">
      <c r="A246" s="797"/>
      <c r="B246" s="339"/>
      <c r="C246" s="42"/>
      <c r="D246" s="282"/>
      <c r="E246" s="42"/>
      <c r="F246" s="42"/>
      <c r="G246" s="42"/>
      <c r="H246" s="42"/>
      <c r="I246" s="42"/>
      <c r="J246" s="42"/>
      <c r="K246" s="42"/>
      <c r="L246" s="42"/>
      <c r="M246" s="42"/>
      <c r="N246" s="282"/>
      <c r="O246" s="42"/>
      <c r="P246" s="42"/>
      <c r="Q246" s="42"/>
      <c r="R246" s="42"/>
      <c r="S246" s="42"/>
      <c r="T246" s="42"/>
      <c r="U246" s="42"/>
      <c r="V246" s="42"/>
      <c r="W246" s="42"/>
      <c r="X246" s="42"/>
      <c r="Y246" s="42"/>
      <c r="Z246" s="42"/>
      <c r="AA246" s="42"/>
      <c r="AB246" s="42"/>
      <c r="AC246" s="42"/>
      <c r="AD246" s="42"/>
      <c r="AE246" s="42"/>
      <c r="AF246" s="42"/>
      <c r="AG246" s="42"/>
      <c r="AH246" s="42"/>
      <c r="AI246" s="42"/>
      <c r="AJ246" s="42"/>
    </row>
    <row r="247" spans="1:36" ht="15.75">
      <c r="A247" s="797"/>
      <c r="B247" s="339"/>
      <c r="C247" s="42"/>
      <c r="D247" s="282"/>
      <c r="E247" s="42"/>
      <c r="F247" s="42"/>
      <c r="G247" s="42"/>
      <c r="H247" s="42"/>
      <c r="I247" s="42"/>
      <c r="J247" s="42"/>
      <c r="K247" s="42"/>
      <c r="L247" s="42"/>
      <c r="M247" s="42"/>
      <c r="N247" s="282"/>
      <c r="O247" s="42"/>
      <c r="P247" s="42"/>
      <c r="Q247" s="42"/>
      <c r="R247" s="42"/>
      <c r="S247" s="42"/>
      <c r="T247" s="42"/>
      <c r="U247" s="42"/>
      <c r="V247" s="42"/>
      <c r="W247" s="42"/>
      <c r="X247" s="42"/>
      <c r="Y247" s="42"/>
      <c r="Z247" s="42"/>
      <c r="AA247" s="42"/>
      <c r="AB247" s="42"/>
      <c r="AC247" s="42"/>
      <c r="AD247" s="42"/>
      <c r="AE247" s="42"/>
      <c r="AF247" s="42"/>
      <c r="AG247" s="42"/>
      <c r="AH247" s="42"/>
      <c r="AI247" s="42"/>
      <c r="AJ247" s="42"/>
    </row>
    <row r="248" spans="1:36" ht="15.75">
      <c r="A248" s="797"/>
      <c r="B248" s="339"/>
      <c r="C248" s="42"/>
      <c r="D248" s="282"/>
      <c r="E248" s="42"/>
      <c r="F248" s="42"/>
      <c r="G248" s="42"/>
      <c r="H248" s="42"/>
      <c r="I248" s="42"/>
      <c r="J248" s="42"/>
      <c r="K248" s="42"/>
      <c r="L248" s="42"/>
      <c r="M248" s="42"/>
      <c r="N248" s="282"/>
      <c r="O248" s="42"/>
      <c r="P248" s="42"/>
      <c r="Q248" s="42"/>
      <c r="R248" s="42"/>
      <c r="S248" s="42"/>
      <c r="T248" s="42"/>
      <c r="U248" s="42"/>
      <c r="V248" s="42"/>
      <c r="W248" s="42"/>
      <c r="X248" s="42"/>
      <c r="Y248" s="42"/>
      <c r="Z248" s="42"/>
      <c r="AA248" s="42"/>
      <c r="AB248" s="42"/>
      <c r="AC248" s="42"/>
      <c r="AD248" s="42"/>
      <c r="AE248" s="42"/>
      <c r="AF248" s="42"/>
      <c r="AG248" s="42"/>
      <c r="AH248" s="42"/>
      <c r="AI248" s="42"/>
      <c r="AJ248" s="42"/>
    </row>
    <row r="249" spans="1:36" ht="15.75">
      <c r="A249" s="797"/>
      <c r="B249" s="339"/>
      <c r="C249" s="42"/>
      <c r="D249" s="282"/>
      <c r="E249" s="42"/>
      <c r="F249" s="42"/>
      <c r="G249" s="42"/>
      <c r="H249" s="42"/>
      <c r="I249" s="42"/>
      <c r="J249" s="42"/>
      <c r="K249" s="42"/>
      <c r="L249" s="42"/>
      <c r="M249" s="42"/>
      <c r="N249" s="282"/>
      <c r="O249" s="42"/>
      <c r="P249" s="42"/>
      <c r="Q249" s="42"/>
      <c r="R249" s="42"/>
      <c r="S249" s="42"/>
      <c r="T249" s="42"/>
      <c r="U249" s="42"/>
      <c r="V249" s="42"/>
      <c r="W249" s="42"/>
      <c r="X249" s="42"/>
      <c r="Y249" s="42"/>
      <c r="Z249" s="42"/>
      <c r="AA249" s="42"/>
      <c r="AB249" s="42"/>
      <c r="AC249" s="42"/>
      <c r="AD249" s="42"/>
      <c r="AE249" s="42"/>
      <c r="AF249" s="42"/>
      <c r="AG249" s="42"/>
      <c r="AH249" s="42"/>
      <c r="AI249" s="42"/>
      <c r="AJ249" s="42"/>
    </row>
    <row r="250" spans="1:36" ht="15.75">
      <c r="A250" s="797"/>
      <c r="B250" s="339"/>
      <c r="C250" s="42"/>
      <c r="D250" s="282"/>
      <c r="E250" s="42"/>
      <c r="F250" s="42"/>
      <c r="G250" s="42"/>
      <c r="H250" s="42"/>
      <c r="I250" s="42"/>
      <c r="J250" s="42"/>
      <c r="K250" s="42"/>
      <c r="L250" s="42"/>
      <c r="M250" s="42"/>
      <c r="N250" s="282"/>
      <c r="O250" s="42"/>
      <c r="P250" s="42"/>
      <c r="Q250" s="42"/>
      <c r="R250" s="42"/>
      <c r="S250" s="42"/>
      <c r="T250" s="42"/>
      <c r="U250" s="42"/>
      <c r="V250" s="42"/>
      <c r="W250" s="42"/>
      <c r="X250" s="42"/>
      <c r="Y250" s="42"/>
      <c r="Z250" s="42"/>
      <c r="AA250" s="42"/>
      <c r="AB250" s="42"/>
      <c r="AC250" s="42"/>
      <c r="AD250" s="42"/>
      <c r="AE250" s="42"/>
      <c r="AF250" s="42"/>
      <c r="AG250" s="42"/>
      <c r="AH250" s="42"/>
      <c r="AI250" s="42"/>
      <c r="AJ250" s="42"/>
    </row>
    <row r="251" spans="1:36" ht="15.75">
      <c r="A251" s="797"/>
      <c r="B251" s="339"/>
      <c r="C251" s="42"/>
      <c r="D251" s="282"/>
      <c r="E251" s="42"/>
      <c r="F251" s="42"/>
      <c r="G251" s="42"/>
      <c r="H251" s="42"/>
      <c r="I251" s="42"/>
      <c r="J251" s="42"/>
      <c r="K251" s="42"/>
      <c r="L251" s="42"/>
      <c r="M251" s="42"/>
      <c r="N251" s="282"/>
      <c r="O251" s="42"/>
      <c r="P251" s="42"/>
      <c r="Q251" s="42"/>
      <c r="R251" s="42"/>
      <c r="S251" s="42"/>
      <c r="T251" s="42"/>
      <c r="U251" s="42"/>
      <c r="V251" s="42"/>
      <c r="W251" s="42"/>
      <c r="X251" s="42"/>
      <c r="Y251" s="42"/>
      <c r="Z251" s="42"/>
      <c r="AA251" s="42"/>
      <c r="AB251" s="42"/>
      <c r="AC251" s="42"/>
      <c r="AD251" s="42"/>
      <c r="AE251" s="42"/>
      <c r="AF251" s="42"/>
      <c r="AG251" s="42"/>
      <c r="AH251" s="42"/>
      <c r="AI251" s="42"/>
      <c r="AJ251" s="42"/>
    </row>
    <row r="252" spans="1:36" ht="15.75">
      <c r="A252" s="797"/>
      <c r="B252" s="339"/>
      <c r="C252" s="42"/>
      <c r="D252" s="282"/>
      <c r="E252" s="42"/>
      <c r="F252" s="42"/>
      <c r="G252" s="42"/>
      <c r="H252" s="42"/>
      <c r="I252" s="42"/>
      <c r="J252" s="42"/>
      <c r="K252" s="42"/>
      <c r="L252" s="42"/>
      <c r="M252" s="42"/>
      <c r="N252" s="282"/>
      <c r="O252" s="42"/>
      <c r="P252" s="42"/>
      <c r="Q252" s="42"/>
      <c r="R252" s="42"/>
      <c r="S252" s="42"/>
      <c r="T252" s="42"/>
      <c r="U252" s="42"/>
      <c r="V252" s="42"/>
      <c r="W252" s="42"/>
      <c r="X252" s="42"/>
      <c r="Y252" s="42"/>
      <c r="Z252" s="42"/>
      <c r="AA252" s="42"/>
      <c r="AB252" s="42"/>
      <c r="AC252" s="42"/>
      <c r="AD252" s="42"/>
      <c r="AE252" s="42"/>
      <c r="AF252" s="42"/>
      <c r="AG252" s="42"/>
      <c r="AH252" s="42"/>
      <c r="AI252" s="42"/>
      <c r="AJ252" s="42"/>
    </row>
    <row r="253" spans="1:36" ht="15.75">
      <c r="A253" s="797"/>
      <c r="B253" s="339"/>
      <c r="C253" s="42"/>
      <c r="D253" s="282"/>
      <c r="E253" s="42"/>
      <c r="F253" s="42"/>
      <c r="G253" s="42"/>
      <c r="H253" s="42"/>
      <c r="I253" s="42"/>
      <c r="J253" s="42"/>
      <c r="K253" s="42"/>
      <c r="L253" s="42"/>
      <c r="M253" s="42"/>
      <c r="N253" s="282"/>
      <c r="O253" s="42"/>
      <c r="P253" s="42"/>
      <c r="Q253" s="42"/>
      <c r="R253" s="42"/>
      <c r="S253" s="42"/>
      <c r="T253" s="42"/>
      <c r="U253" s="42"/>
      <c r="V253" s="42"/>
      <c r="W253" s="42"/>
      <c r="X253" s="42"/>
      <c r="Y253" s="42"/>
      <c r="Z253" s="42"/>
      <c r="AA253" s="42"/>
      <c r="AB253" s="42"/>
      <c r="AC253" s="42"/>
      <c r="AD253" s="42"/>
      <c r="AE253" s="42"/>
      <c r="AF253" s="42"/>
      <c r="AG253" s="42"/>
      <c r="AH253" s="42"/>
      <c r="AI253" s="42"/>
      <c r="AJ253" s="42"/>
    </row>
    <row r="254" spans="1:36" ht="15.75">
      <c r="A254" s="797"/>
      <c r="B254" s="339"/>
      <c r="C254" s="42"/>
      <c r="D254" s="282"/>
      <c r="E254" s="42"/>
      <c r="F254" s="42"/>
      <c r="G254" s="42"/>
      <c r="H254" s="42"/>
      <c r="I254" s="42"/>
      <c r="J254" s="42"/>
      <c r="K254" s="42"/>
      <c r="L254" s="42"/>
      <c r="M254" s="42"/>
      <c r="N254" s="282"/>
      <c r="O254" s="42"/>
      <c r="P254" s="42"/>
      <c r="Q254" s="42"/>
      <c r="R254" s="42"/>
      <c r="S254" s="42"/>
      <c r="T254" s="42"/>
      <c r="U254" s="42"/>
      <c r="V254" s="42"/>
      <c r="W254" s="42"/>
      <c r="X254" s="42"/>
      <c r="Y254" s="42"/>
      <c r="Z254" s="42"/>
      <c r="AA254" s="42"/>
      <c r="AB254" s="42"/>
      <c r="AC254" s="42"/>
      <c r="AD254" s="42"/>
      <c r="AE254" s="42"/>
      <c r="AF254" s="42"/>
      <c r="AG254" s="42"/>
      <c r="AH254" s="42"/>
      <c r="AI254" s="42"/>
      <c r="AJ254" s="42"/>
    </row>
    <row r="255" spans="1:36" ht="15.75">
      <c r="A255" s="797"/>
      <c r="B255" s="339"/>
      <c r="C255" s="42"/>
      <c r="D255" s="282"/>
      <c r="E255" s="42"/>
      <c r="F255" s="42"/>
      <c r="G255" s="42"/>
      <c r="H255" s="42"/>
      <c r="I255" s="42"/>
      <c r="J255" s="42"/>
      <c r="K255" s="42"/>
      <c r="L255" s="42"/>
      <c r="M255" s="42"/>
      <c r="N255" s="282"/>
      <c r="O255" s="42"/>
      <c r="P255" s="42"/>
      <c r="Q255" s="42"/>
      <c r="R255" s="42"/>
      <c r="S255" s="42"/>
      <c r="T255" s="42"/>
      <c r="U255" s="42"/>
      <c r="V255" s="42"/>
      <c r="W255" s="42"/>
      <c r="X255" s="42"/>
      <c r="Y255" s="42"/>
      <c r="Z255" s="42"/>
      <c r="AA255" s="42"/>
      <c r="AB255" s="42"/>
      <c r="AC255" s="42"/>
      <c r="AD255" s="42"/>
      <c r="AE255" s="42"/>
      <c r="AF255" s="42"/>
      <c r="AG255" s="42"/>
      <c r="AH255" s="42"/>
      <c r="AI255" s="42"/>
      <c r="AJ255" s="42"/>
    </row>
    <row r="256" spans="1:36" ht="15.75">
      <c r="A256" s="797"/>
      <c r="B256" s="339"/>
      <c r="C256" s="42"/>
      <c r="D256" s="282"/>
      <c r="E256" s="42"/>
      <c r="F256" s="42"/>
      <c r="G256" s="42"/>
      <c r="H256" s="42"/>
      <c r="I256" s="42"/>
      <c r="J256" s="42"/>
      <c r="K256" s="42"/>
      <c r="L256" s="42"/>
      <c r="M256" s="42"/>
      <c r="N256" s="282"/>
      <c r="O256" s="42"/>
      <c r="P256" s="42"/>
      <c r="Q256" s="42"/>
      <c r="R256" s="42"/>
      <c r="S256" s="42"/>
      <c r="T256" s="42"/>
      <c r="U256" s="42"/>
      <c r="V256" s="42"/>
      <c r="W256" s="42"/>
      <c r="X256" s="42"/>
      <c r="Y256" s="42"/>
      <c r="Z256" s="42"/>
      <c r="AA256" s="42"/>
      <c r="AB256" s="42"/>
      <c r="AC256" s="42"/>
      <c r="AD256" s="42"/>
      <c r="AE256" s="42"/>
      <c r="AF256" s="42"/>
      <c r="AG256" s="42"/>
      <c r="AH256" s="42"/>
      <c r="AI256" s="42"/>
      <c r="AJ256" s="42"/>
    </row>
    <row r="257" spans="1:36" ht="15.75">
      <c r="A257" s="797"/>
      <c r="B257" s="339"/>
      <c r="C257" s="42"/>
      <c r="D257" s="282"/>
      <c r="E257" s="42"/>
      <c r="F257" s="42"/>
      <c r="G257" s="42"/>
      <c r="H257" s="42"/>
      <c r="I257" s="42"/>
      <c r="J257" s="42"/>
      <c r="K257" s="42"/>
      <c r="L257" s="42"/>
      <c r="M257" s="42"/>
      <c r="N257" s="282"/>
      <c r="O257" s="42"/>
      <c r="P257" s="42"/>
      <c r="Q257" s="42"/>
      <c r="R257" s="42"/>
      <c r="S257" s="42"/>
      <c r="T257" s="42"/>
      <c r="U257" s="42"/>
      <c r="V257" s="42"/>
      <c r="W257" s="42"/>
      <c r="X257" s="42"/>
      <c r="Y257" s="42"/>
      <c r="Z257" s="42"/>
      <c r="AA257" s="42"/>
      <c r="AB257" s="42"/>
      <c r="AC257" s="42"/>
      <c r="AD257" s="42"/>
      <c r="AE257" s="42"/>
      <c r="AF257" s="42"/>
      <c r="AG257" s="42"/>
      <c r="AH257" s="42"/>
      <c r="AI257" s="42"/>
      <c r="AJ257" s="42"/>
    </row>
    <row r="258" spans="1:36" ht="15.75">
      <c r="A258" s="797"/>
      <c r="B258" s="339"/>
      <c r="C258" s="42"/>
      <c r="D258" s="282"/>
      <c r="E258" s="42"/>
      <c r="F258" s="42"/>
      <c r="G258" s="42"/>
      <c r="H258" s="42"/>
      <c r="I258" s="42"/>
      <c r="J258" s="42"/>
      <c r="K258" s="42"/>
      <c r="L258" s="42"/>
      <c r="M258" s="42"/>
      <c r="N258" s="282"/>
      <c r="O258" s="42"/>
      <c r="P258" s="42"/>
      <c r="Q258" s="42"/>
      <c r="R258" s="42"/>
      <c r="S258" s="42"/>
      <c r="T258" s="42"/>
      <c r="U258" s="42"/>
      <c r="V258" s="42"/>
      <c r="W258" s="42"/>
      <c r="X258" s="42"/>
      <c r="Y258" s="42"/>
      <c r="Z258" s="42"/>
      <c r="AA258" s="42"/>
      <c r="AB258" s="42"/>
      <c r="AC258" s="42"/>
      <c r="AD258" s="42"/>
      <c r="AE258" s="42"/>
      <c r="AF258" s="42"/>
      <c r="AG258" s="42"/>
      <c r="AH258" s="42"/>
      <c r="AI258" s="42"/>
      <c r="AJ258" s="42"/>
    </row>
    <row r="259" spans="1:36" ht="15.75">
      <c r="A259" s="797"/>
      <c r="B259" s="339"/>
      <c r="C259" s="42"/>
      <c r="D259" s="282"/>
      <c r="E259" s="42"/>
      <c r="F259" s="42"/>
      <c r="G259" s="42"/>
      <c r="H259" s="42"/>
      <c r="I259" s="42"/>
      <c r="J259" s="42"/>
      <c r="K259" s="42"/>
      <c r="L259" s="42"/>
      <c r="M259" s="42"/>
      <c r="N259" s="282"/>
      <c r="O259" s="42"/>
      <c r="P259" s="42"/>
      <c r="Q259" s="42"/>
      <c r="R259" s="42"/>
      <c r="S259" s="42"/>
      <c r="T259" s="42"/>
      <c r="U259" s="42"/>
      <c r="V259" s="42"/>
      <c r="W259" s="42"/>
      <c r="X259" s="42"/>
      <c r="Y259" s="42"/>
      <c r="Z259" s="42"/>
      <c r="AA259" s="42"/>
      <c r="AB259" s="42"/>
      <c r="AC259" s="42"/>
      <c r="AD259" s="42"/>
      <c r="AE259" s="42"/>
      <c r="AF259" s="42"/>
      <c r="AG259" s="42"/>
      <c r="AH259" s="42"/>
      <c r="AI259" s="42"/>
      <c r="AJ259" s="42"/>
    </row>
    <row r="260" spans="1:36" ht="15.75">
      <c r="A260" s="797"/>
      <c r="B260" s="339"/>
      <c r="C260" s="42"/>
      <c r="D260" s="282"/>
      <c r="E260" s="42"/>
      <c r="F260" s="42"/>
      <c r="G260" s="42"/>
      <c r="H260" s="42"/>
      <c r="I260" s="42"/>
      <c r="J260" s="42"/>
      <c r="K260" s="42"/>
      <c r="L260" s="42"/>
      <c r="M260" s="42"/>
      <c r="N260" s="282"/>
      <c r="O260" s="42"/>
      <c r="P260" s="42"/>
      <c r="Q260" s="42"/>
      <c r="R260" s="42"/>
      <c r="S260" s="42"/>
      <c r="T260" s="42"/>
      <c r="U260" s="42"/>
      <c r="V260" s="42"/>
      <c r="W260" s="42"/>
      <c r="X260" s="42"/>
      <c r="Y260" s="42"/>
      <c r="Z260" s="42"/>
      <c r="AA260" s="42"/>
      <c r="AB260" s="42"/>
      <c r="AC260" s="42"/>
      <c r="AD260" s="42"/>
      <c r="AE260" s="42"/>
      <c r="AF260" s="42"/>
      <c r="AG260" s="42"/>
      <c r="AH260" s="42"/>
      <c r="AI260" s="42"/>
      <c r="AJ260" s="42"/>
    </row>
    <row r="261" spans="1:36" ht="15.75">
      <c r="A261" s="797"/>
      <c r="B261" s="339"/>
      <c r="C261" s="42"/>
      <c r="D261" s="282"/>
      <c r="E261" s="42"/>
      <c r="F261" s="42"/>
      <c r="G261" s="42"/>
      <c r="H261" s="42"/>
      <c r="I261" s="42"/>
      <c r="J261" s="42"/>
      <c r="K261" s="42"/>
      <c r="L261" s="42"/>
      <c r="M261" s="42"/>
      <c r="N261" s="282"/>
      <c r="O261" s="42"/>
      <c r="P261" s="42"/>
      <c r="Q261" s="42"/>
      <c r="R261" s="42"/>
      <c r="S261" s="42"/>
      <c r="T261" s="42"/>
      <c r="U261" s="42"/>
      <c r="V261" s="42"/>
      <c r="W261" s="42"/>
      <c r="X261" s="42"/>
      <c r="Y261" s="42"/>
      <c r="Z261" s="42"/>
      <c r="AA261" s="42"/>
      <c r="AB261" s="42"/>
      <c r="AC261" s="42"/>
      <c r="AD261" s="42"/>
      <c r="AE261" s="42"/>
      <c r="AF261" s="42"/>
      <c r="AG261" s="42"/>
      <c r="AH261" s="42"/>
      <c r="AI261" s="42"/>
      <c r="AJ261" s="42"/>
    </row>
    <row r="262" spans="1:36" ht="15.75">
      <c r="A262" s="797"/>
      <c r="B262" s="339"/>
      <c r="C262" s="42"/>
      <c r="D262" s="282"/>
      <c r="E262" s="42"/>
      <c r="F262" s="42"/>
      <c r="G262" s="42"/>
      <c r="H262" s="42"/>
      <c r="I262" s="42"/>
      <c r="J262" s="42"/>
      <c r="K262" s="42"/>
      <c r="L262" s="42"/>
      <c r="M262" s="42"/>
      <c r="N262" s="282"/>
      <c r="O262" s="42"/>
      <c r="P262" s="42"/>
      <c r="Q262" s="42"/>
      <c r="R262" s="42"/>
      <c r="S262" s="42"/>
      <c r="T262" s="42"/>
      <c r="U262" s="42"/>
      <c r="V262" s="42"/>
      <c r="W262" s="42"/>
      <c r="X262" s="42"/>
      <c r="Y262" s="42"/>
      <c r="Z262" s="42"/>
      <c r="AA262" s="42"/>
      <c r="AB262" s="42"/>
      <c r="AC262" s="42"/>
      <c r="AD262" s="42"/>
      <c r="AE262" s="42"/>
      <c r="AF262" s="42"/>
      <c r="AG262" s="42"/>
      <c r="AH262" s="42"/>
      <c r="AI262" s="42"/>
      <c r="AJ262" s="42"/>
    </row>
    <row r="263" spans="1:36" ht="15.75">
      <c r="A263" s="797"/>
      <c r="B263" s="339"/>
      <c r="C263" s="42"/>
      <c r="D263" s="282"/>
      <c r="E263" s="42"/>
      <c r="F263" s="42"/>
      <c r="G263" s="42"/>
      <c r="H263" s="42"/>
      <c r="I263" s="42"/>
      <c r="J263" s="42"/>
      <c r="K263" s="42"/>
      <c r="L263" s="42"/>
      <c r="M263" s="42"/>
      <c r="N263" s="282"/>
      <c r="O263" s="42"/>
      <c r="P263" s="42"/>
      <c r="Q263" s="42"/>
      <c r="R263" s="42"/>
      <c r="S263" s="42"/>
      <c r="T263" s="42"/>
      <c r="U263" s="42"/>
      <c r="V263" s="42"/>
      <c r="W263" s="42"/>
      <c r="X263" s="42"/>
      <c r="Y263" s="42"/>
      <c r="Z263" s="42"/>
      <c r="AA263" s="42"/>
      <c r="AB263" s="42"/>
      <c r="AC263" s="42"/>
      <c r="AD263" s="42"/>
      <c r="AE263" s="42"/>
      <c r="AF263" s="42"/>
      <c r="AG263" s="42"/>
      <c r="AH263" s="42"/>
      <c r="AI263" s="42"/>
      <c r="AJ263" s="42"/>
    </row>
    <row r="264" spans="1:36" ht="15.75">
      <c r="A264" s="797"/>
      <c r="B264" s="339"/>
      <c r="C264" s="42"/>
      <c r="D264" s="282"/>
      <c r="E264" s="42"/>
      <c r="F264" s="42"/>
      <c r="G264" s="42"/>
      <c r="H264" s="42"/>
      <c r="I264" s="42"/>
      <c r="J264" s="42"/>
      <c r="K264" s="42"/>
      <c r="L264" s="42"/>
      <c r="M264" s="42"/>
      <c r="N264" s="282"/>
      <c r="O264" s="42"/>
      <c r="P264" s="42"/>
      <c r="Q264" s="42"/>
      <c r="R264" s="42"/>
      <c r="S264" s="42"/>
      <c r="T264" s="42"/>
      <c r="U264" s="42"/>
      <c r="V264" s="42"/>
      <c r="W264" s="42"/>
      <c r="X264" s="42"/>
      <c r="Y264" s="42"/>
      <c r="Z264" s="42"/>
      <c r="AA264" s="42"/>
      <c r="AB264" s="42"/>
      <c r="AC264" s="42"/>
      <c r="AD264" s="42"/>
      <c r="AE264" s="42"/>
      <c r="AF264" s="42"/>
      <c r="AG264" s="42"/>
      <c r="AH264" s="42"/>
      <c r="AI264" s="42"/>
      <c r="AJ264" s="42"/>
    </row>
    <row r="265" spans="1:36" ht="15.75">
      <c r="A265" s="797"/>
      <c r="B265" s="339"/>
      <c r="C265" s="42"/>
      <c r="D265" s="282"/>
      <c r="E265" s="42"/>
      <c r="F265" s="42"/>
      <c r="G265" s="42"/>
      <c r="H265" s="42"/>
      <c r="I265" s="42"/>
      <c r="J265" s="42"/>
      <c r="K265" s="42"/>
      <c r="L265" s="42"/>
      <c r="M265" s="42"/>
      <c r="N265" s="282"/>
      <c r="O265" s="42"/>
      <c r="P265" s="42"/>
      <c r="Q265" s="42"/>
      <c r="R265" s="42"/>
      <c r="S265" s="42"/>
      <c r="T265" s="42"/>
      <c r="U265" s="42"/>
      <c r="V265" s="42"/>
      <c r="W265" s="42"/>
      <c r="X265" s="42"/>
      <c r="Y265" s="42"/>
      <c r="Z265" s="42"/>
      <c r="AA265" s="42"/>
      <c r="AB265" s="42"/>
      <c r="AC265" s="42"/>
      <c r="AD265" s="42"/>
      <c r="AE265" s="42"/>
      <c r="AF265" s="42"/>
      <c r="AG265" s="42"/>
      <c r="AH265" s="42"/>
      <c r="AI265" s="42"/>
      <c r="AJ265" s="42"/>
    </row>
    <row r="266" spans="1:36" ht="15.75">
      <c r="A266" s="797"/>
      <c r="B266" s="339"/>
      <c r="C266" s="42"/>
      <c r="D266" s="282"/>
      <c r="E266" s="42"/>
      <c r="F266" s="42"/>
      <c r="G266" s="42"/>
      <c r="H266" s="42"/>
      <c r="I266" s="42"/>
      <c r="J266" s="42"/>
      <c r="K266" s="42"/>
      <c r="L266" s="42"/>
      <c r="M266" s="42"/>
      <c r="N266" s="282"/>
      <c r="O266" s="42"/>
      <c r="P266" s="42"/>
      <c r="Q266" s="42"/>
      <c r="R266" s="42"/>
      <c r="S266" s="42"/>
      <c r="T266" s="42"/>
      <c r="U266" s="42"/>
      <c r="V266" s="42"/>
      <c r="W266" s="42"/>
      <c r="X266" s="42"/>
      <c r="Y266" s="42"/>
      <c r="Z266" s="42"/>
      <c r="AA266" s="42"/>
      <c r="AB266" s="42"/>
      <c r="AC266" s="42"/>
      <c r="AD266" s="42"/>
      <c r="AE266" s="42"/>
      <c r="AF266" s="42"/>
      <c r="AG266" s="42"/>
      <c r="AH266" s="42"/>
      <c r="AI266" s="42"/>
      <c r="AJ266" s="42"/>
    </row>
    <row r="267" spans="1:36" ht="15.75">
      <c r="A267" s="797"/>
      <c r="B267" s="339"/>
      <c r="C267" s="42"/>
      <c r="D267" s="282"/>
      <c r="E267" s="42"/>
      <c r="F267" s="42"/>
      <c r="G267" s="42"/>
      <c r="H267" s="42"/>
      <c r="I267" s="42"/>
      <c r="J267" s="42"/>
      <c r="K267" s="42"/>
      <c r="L267" s="42"/>
      <c r="M267" s="42"/>
      <c r="N267" s="282"/>
      <c r="O267" s="42"/>
      <c r="P267" s="42"/>
      <c r="Q267" s="42"/>
      <c r="R267" s="42"/>
      <c r="S267" s="42"/>
      <c r="T267" s="42"/>
      <c r="U267" s="42"/>
      <c r="V267" s="42"/>
      <c r="W267" s="42"/>
      <c r="X267" s="42"/>
      <c r="Y267" s="42"/>
      <c r="Z267" s="42"/>
      <c r="AA267" s="42"/>
      <c r="AB267" s="42"/>
      <c r="AC267" s="42"/>
      <c r="AD267" s="42"/>
      <c r="AE267" s="42"/>
      <c r="AF267" s="42"/>
      <c r="AG267" s="42"/>
      <c r="AH267" s="42"/>
      <c r="AI267" s="42"/>
      <c r="AJ267" s="42"/>
    </row>
    <row r="268" spans="1:36" ht="15.75">
      <c r="A268" s="797"/>
      <c r="B268" s="339"/>
      <c r="C268" s="42"/>
      <c r="D268" s="282"/>
      <c r="E268" s="42"/>
      <c r="F268" s="42"/>
      <c r="G268" s="42"/>
      <c r="H268" s="42"/>
      <c r="I268" s="42"/>
      <c r="J268" s="42"/>
      <c r="K268" s="42"/>
      <c r="L268" s="42"/>
      <c r="M268" s="42"/>
      <c r="N268" s="282"/>
      <c r="O268" s="42"/>
      <c r="P268" s="42"/>
      <c r="Q268" s="42"/>
      <c r="R268" s="42"/>
      <c r="S268" s="42"/>
      <c r="T268" s="42"/>
      <c r="U268" s="42"/>
      <c r="V268" s="42"/>
      <c r="W268" s="42"/>
      <c r="X268" s="42"/>
      <c r="Y268" s="42"/>
      <c r="Z268" s="42"/>
      <c r="AA268" s="42"/>
      <c r="AB268" s="42"/>
      <c r="AC268" s="42"/>
      <c r="AD268" s="42"/>
      <c r="AE268" s="42"/>
      <c r="AF268" s="42"/>
      <c r="AG268" s="42"/>
      <c r="AH268" s="42"/>
      <c r="AI268" s="42"/>
      <c r="AJ268" s="42"/>
    </row>
    <row r="269" spans="1:36" ht="15.75">
      <c r="A269" s="797"/>
      <c r="B269" s="339"/>
      <c r="C269" s="42"/>
      <c r="D269" s="282"/>
      <c r="E269" s="42"/>
      <c r="F269" s="42"/>
      <c r="G269" s="42"/>
      <c r="H269" s="42"/>
      <c r="I269" s="42"/>
      <c r="J269" s="42"/>
      <c r="K269" s="42"/>
      <c r="L269" s="42"/>
      <c r="M269" s="42"/>
      <c r="N269" s="282"/>
      <c r="O269" s="42"/>
      <c r="P269" s="42"/>
      <c r="Q269" s="42"/>
      <c r="R269" s="42"/>
      <c r="S269" s="42"/>
      <c r="T269" s="42"/>
      <c r="U269" s="42"/>
      <c r="V269" s="42"/>
      <c r="W269" s="42"/>
      <c r="X269" s="42"/>
      <c r="Y269" s="42"/>
      <c r="Z269" s="42"/>
      <c r="AA269" s="42"/>
      <c r="AB269" s="42"/>
      <c r="AC269" s="42"/>
      <c r="AD269" s="42"/>
      <c r="AE269" s="42"/>
      <c r="AF269" s="42"/>
      <c r="AG269" s="42"/>
      <c r="AH269" s="42"/>
      <c r="AI269" s="42"/>
      <c r="AJ269" s="42"/>
    </row>
    <row r="270" spans="1:36" ht="15.75">
      <c r="A270" s="797"/>
      <c r="B270" s="339"/>
      <c r="C270" s="42"/>
      <c r="D270" s="282"/>
      <c r="E270" s="42"/>
      <c r="F270" s="42"/>
      <c r="G270" s="42"/>
      <c r="H270" s="42"/>
      <c r="I270" s="42"/>
      <c r="J270" s="42"/>
      <c r="K270" s="42"/>
      <c r="L270" s="42"/>
      <c r="M270" s="42"/>
      <c r="N270" s="282"/>
      <c r="O270" s="42"/>
      <c r="P270" s="42"/>
      <c r="Q270" s="42"/>
      <c r="R270" s="42"/>
      <c r="S270" s="42"/>
      <c r="T270" s="42"/>
      <c r="U270" s="42"/>
      <c r="V270" s="42"/>
      <c r="W270" s="42"/>
      <c r="X270" s="42"/>
      <c r="Y270" s="42"/>
      <c r="Z270" s="42"/>
      <c r="AA270" s="42"/>
      <c r="AB270" s="42"/>
      <c r="AC270" s="42"/>
      <c r="AD270" s="42"/>
      <c r="AE270" s="42"/>
      <c r="AF270" s="42"/>
      <c r="AG270" s="42"/>
      <c r="AH270" s="42"/>
      <c r="AI270" s="42"/>
      <c r="AJ270" s="42"/>
    </row>
    <row r="271" spans="1:36" ht="15.75">
      <c r="A271" s="797"/>
      <c r="B271" s="339"/>
      <c r="C271" s="42"/>
      <c r="D271" s="282"/>
      <c r="E271" s="42"/>
      <c r="F271" s="42"/>
      <c r="G271" s="42"/>
      <c r="H271" s="42"/>
      <c r="I271" s="42"/>
      <c r="J271" s="42"/>
      <c r="K271" s="42"/>
      <c r="L271" s="42"/>
      <c r="M271" s="42"/>
      <c r="N271" s="282"/>
      <c r="O271" s="42"/>
      <c r="P271" s="42"/>
      <c r="Q271" s="42"/>
      <c r="R271" s="42"/>
      <c r="S271" s="42"/>
      <c r="T271" s="42"/>
      <c r="U271" s="42"/>
      <c r="V271" s="42"/>
      <c r="W271" s="42"/>
      <c r="X271" s="42"/>
      <c r="Y271" s="42"/>
      <c r="Z271" s="42"/>
      <c r="AA271" s="42"/>
      <c r="AB271" s="42"/>
      <c r="AC271" s="42"/>
      <c r="AD271" s="42"/>
      <c r="AE271" s="42"/>
      <c r="AF271" s="42"/>
      <c r="AG271" s="42"/>
      <c r="AH271" s="42"/>
      <c r="AI271" s="42"/>
      <c r="AJ271" s="42"/>
    </row>
    <row r="272" spans="1:36" ht="15.75">
      <c r="A272" s="797"/>
      <c r="B272" s="339"/>
      <c r="C272" s="42"/>
      <c r="D272" s="282"/>
      <c r="E272" s="42"/>
      <c r="F272" s="42"/>
      <c r="G272" s="42"/>
      <c r="H272" s="42"/>
      <c r="I272" s="42"/>
      <c r="J272" s="42"/>
      <c r="K272" s="42"/>
      <c r="L272" s="42"/>
      <c r="M272" s="42"/>
      <c r="N272" s="282"/>
      <c r="O272" s="42"/>
      <c r="P272" s="42"/>
      <c r="Q272" s="42"/>
      <c r="R272" s="42"/>
      <c r="S272" s="42"/>
      <c r="T272" s="42"/>
      <c r="U272" s="42"/>
      <c r="V272" s="42"/>
      <c r="W272" s="42"/>
      <c r="X272" s="42"/>
      <c r="Y272" s="42"/>
      <c r="Z272" s="42"/>
      <c r="AA272" s="42"/>
      <c r="AB272" s="42"/>
      <c r="AC272" s="42"/>
      <c r="AD272" s="42"/>
      <c r="AE272" s="42"/>
      <c r="AF272" s="42"/>
      <c r="AG272" s="42"/>
      <c r="AH272" s="42"/>
      <c r="AI272" s="42"/>
      <c r="AJ272" s="42"/>
    </row>
    <row r="273" spans="1:36" ht="15.75">
      <c r="A273" s="797"/>
      <c r="B273" s="339"/>
      <c r="C273" s="42"/>
      <c r="D273" s="282"/>
      <c r="E273" s="42"/>
      <c r="F273" s="42"/>
      <c r="G273" s="42"/>
      <c r="H273" s="42"/>
      <c r="I273" s="42"/>
      <c r="J273" s="42"/>
      <c r="K273" s="42"/>
      <c r="L273" s="42"/>
      <c r="M273" s="42"/>
      <c r="N273" s="282"/>
      <c r="O273" s="42"/>
      <c r="P273" s="42"/>
      <c r="Q273" s="42"/>
      <c r="R273" s="42"/>
      <c r="S273" s="42"/>
      <c r="T273" s="42"/>
      <c r="U273" s="42"/>
      <c r="V273" s="42"/>
      <c r="W273" s="42"/>
      <c r="X273" s="42"/>
      <c r="Y273" s="42"/>
      <c r="Z273" s="42"/>
      <c r="AA273" s="42"/>
      <c r="AB273" s="42"/>
      <c r="AC273" s="42"/>
      <c r="AD273" s="42"/>
      <c r="AE273" s="42"/>
      <c r="AF273" s="42"/>
      <c r="AG273" s="42"/>
      <c r="AH273" s="42"/>
      <c r="AI273" s="42"/>
      <c r="AJ273" s="42"/>
    </row>
    <row r="274" spans="1:36" ht="15.75">
      <c r="A274" s="797"/>
      <c r="B274" s="339"/>
      <c r="C274" s="42"/>
      <c r="D274" s="282"/>
      <c r="E274" s="42"/>
      <c r="F274" s="42"/>
      <c r="G274" s="42"/>
      <c r="H274" s="42"/>
      <c r="I274" s="42"/>
      <c r="J274" s="42"/>
      <c r="K274" s="42"/>
      <c r="L274" s="42"/>
      <c r="M274" s="42"/>
      <c r="N274" s="282"/>
      <c r="O274" s="42"/>
      <c r="P274" s="42"/>
      <c r="Q274" s="42"/>
      <c r="R274" s="42"/>
      <c r="S274" s="42"/>
      <c r="T274" s="42"/>
      <c r="U274" s="42"/>
      <c r="V274" s="42"/>
      <c r="W274" s="42"/>
      <c r="X274" s="42"/>
      <c r="Y274" s="42"/>
      <c r="Z274" s="42"/>
      <c r="AA274" s="42"/>
      <c r="AB274" s="42"/>
      <c r="AC274" s="42"/>
      <c r="AD274" s="42"/>
      <c r="AE274" s="42"/>
      <c r="AF274" s="42"/>
      <c r="AG274" s="42"/>
      <c r="AH274" s="42"/>
      <c r="AI274" s="42"/>
      <c r="AJ274" s="42"/>
    </row>
    <row r="275" spans="1:36" ht="15.75">
      <c r="A275" s="797"/>
      <c r="B275" s="339"/>
      <c r="C275" s="42"/>
      <c r="D275" s="282"/>
      <c r="E275" s="42"/>
      <c r="F275" s="42"/>
      <c r="G275" s="42"/>
      <c r="H275" s="42"/>
      <c r="I275" s="42"/>
      <c r="J275" s="42"/>
      <c r="K275" s="42"/>
      <c r="L275" s="42"/>
      <c r="M275" s="42"/>
      <c r="N275" s="282"/>
      <c r="O275" s="42"/>
      <c r="P275" s="42"/>
      <c r="Q275" s="42"/>
      <c r="R275" s="42"/>
      <c r="S275" s="42"/>
      <c r="T275" s="42"/>
      <c r="U275" s="42"/>
      <c r="V275" s="42"/>
      <c r="W275" s="42"/>
      <c r="X275" s="42"/>
      <c r="Y275" s="42"/>
      <c r="Z275" s="42"/>
      <c r="AA275" s="42"/>
      <c r="AB275" s="42"/>
      <c r="AC275" s="42"/>
      <c r="AD275" s="42"/>
      <c r="AE275" s="42"/>
      <c r="AF275" s="42"/>
      <c r="AG275" s="42"/>
      <c r="AH275" s="42"/>
      <c r="AI275" s="42"/>
      <c r="AJ275" s="42"/>
    </row>
    <row r="276" spans="1:36" ht="15.75">
      <c r="A276" s="797"/>
      <c r="B276" s="339"/>
      <c r="C276" s="42"/>
      <c r="D276" s="282"/>
      <c r="E276" s="42"/>
      <c r="F276" s="42"/>
      <c r="G276" s="42"/>
      <c r="H276" s="42"/>
      <c r="I276" s="42"/>
      <c r="J276" s="42"/>
      <c r="K276" s="42"/>
      <c r="L276" s="42"/>
      <c r="M276" s="42"/>
      <c r="N276" s="282"/>
      <c r="O276" s="42"/>
      <c r="P276" s="42"/>
      <c r="Q276" s="42"/>
      <c r="R276" s="42"/>
      <c r="S276" s="42"/>
      <c r="T276" s="42"/>
      <c r="U276" s="42"/>
      <c r="V276" s="42"/>
      <c r="W276" s="42"/>
      <c r="X276" s="42"/>
      <c r="Y276" s="42"/>
      <c r="Z276" s="42"/>
      <c r="AA276" s="42"/>
      <c r="AB276" s="42"/>
      <c r="AC276" s="42"/>
      <c r="AD276" s="42"/>
      <c r="AE276" s="42"/>
      <c r="AF276" s="42"/>
      <c r="AG276" s="42"/>
      <c r="AH276" s="42"/>
      <c r="AI276" s="42"/>
      <c r="AJ276" s="42"/>
    </row>
    <row r="277" spans="1:36" ht="15.75">
      <c r="A277" s="797"/>
      <c r="B277" s="339"/>
      <c r="C277" s="42"/>
      <c r="D277" s="282"/>
      <c r="E277" s="42"/>
      <c r="F277" s="42"/>
      <c r="G277" s="42"/>
      <c r="H277" s="42"/>
      <c r="I277" s="42"/>
      <c r="J277" s="42"/>
      <c r="K277" s="42"/>
      <c r="L277" s="42"/>
      <c r="M277" s="42"/>
      <c r="N277" s="282"/>
      <c r="O277" s="42"/>
      <c r="P277" s="42"/>
      <c r="Q277" s="42"/>
      <c r="R277" s="42"/>
      <c r="S277" s="42"/>
      <c r="T277" s="42"/>
      <c r="U277" s="42"/>
      <c r="V277" s="42"/>
      <c r="W277" s="42"/>
      <c r="X277" s="42"/>
      <c r="Y277" s="42"/>
      <c r="Z277" s="42"/>
      <c r="AA277" s="42"/>
      <c r="AB277" s="42"/>
      <c r="AC277" s="42"/>
      <c r="AD277" s="42"/>
      <c r="AE277" s="42"/>
      <c r="AF277" s="42"/>
      <c r="AG277" s="42"/>
      <c r="AH277" s="42"/>
      <c r="AI277" s="42"/>
      <c r="AJ277" s="42"/>
    </row>
    <row r="278" spans="1:36" ht="15.75">
      <c r="A278" s="797"/>
      <c r="B278" s="339"/>
      <c r="C278" s="42"/>
      <c r="D278" s="282"/>
      <c r="E278" s="42"/>
      <c r="F278" s="42"/>
      <c r="G278" s="42"/>
      <c r="H278" s="42"/>
      <c r="I278" s="42"/>
      <c r="J278" s="42"/>
      <c r="K278" s="42"/>
      <c r="L278" s="42"/>
      <c r="M278" s="42"/>
      <c r="N278" s="282"/>
      <c r="O278" s="42"/>
      <c r="P278" s="42"/>
      <c r="Q278" s="42"/>
      <c r="R278" s="42"/>
      <c r="S278" s="42"/>
      <c r="T278" s="42"/>
      <c r="U278" s="42"/>
      <c r="V278" s="42"/>
      <c r="W278" s="42"/>
      <c r="X278" s="42"/>
      <c r="Y278" s="42"/>
      <c r="Z278" s="42"/>
      <c r="AA278" s="42"/>
      <c r="AB278" s="42"/>
      <c r="AC278" s="42"/>
      <c r="AD278" s="42"/>
      <c r="AE278" s="42"/>
      <c r="AF278" s="42"/>
      <c r="AG278" s="42"/>
      <c r="AH278" s="42"/>
      <c r="AI278" s="42"/>
      <c r="AJ278" s="42"/>
    </row>
    <row r="279" spans="1:36" ht="15.75">
      <c r="A279" s="797"/>
      <c r="B279" s="339"/>
      <c r="C279" s="42"/>
      <c r="D279" s="282"/>
      <c r="E279" s="42"/>
      <c r="F279" s="42"/>
      <c r="G279" s="42"/>
      <c r="H279" s="42"/>
      <c r="I279" s="42"/>
      <c r="J279" s="42"/>
      <c r="K279" s="42"/>
      <c r="L279" s="42"/>
      <c r="M279" s="42"/>
      <c r="N279" s="282"/>
      <c r="O279" s="42"/>
      <c r="P279" s="42"/>
      <c r="Q279" s="42"/>
      <c r="R279" s="42"/>
      <c r="S279" s="42"/>
      <c r="T279" s="42"/>
      <c r="U279" s="42"/>
      <c r="V279" s="42"/>
      <c r="W279" s="42"/>
      <c r="X279" s="42"/>
      <c r="Y279" s="42"/>
      <c r="Z279" s="42"/>
      <c r="AA279" s="42"/>
      <c r="AB279" s="42"/>
      <c r="AC279" s="42"/>
      <c r="AD279" s="42"/>
      <c r="AE279" s="42"/>
      <c r="AF279" s="42"/>
      <c r="AG279" s="42"/>
      <c r="AH279" s="42"/>
      <c r="AI279" s="42"/>
      <c r="AJ279" s="42"/>
    </row>
    <row r="280" spans="1:36" ht="15.75">
      <c r="A280" s="797"/>
      <c r="B280" s="339"/>
      <c r="C280" s="42"/>
      <c r="D280" s="282"/>
      <c r="E280" s="42"/>
      <c r="F280" s="42"/>
      <c r="G280" s="42"/>
      <c r="H280" s="42"/>
      <c r="I280" s="42"/>
      <c r="J280" s="42"/>
      <c r="K280" s="42"/>
      <c r="L280" s="42"/>
      <c r="M280" s="42"/>
      <c r="N280" s="282"/>
      <c r="O280" s="42"/>
      <c r="P280" s="42"/>
      <c r="Q280" s="42"/>
      <c r="R280" s="42"/>
      <c r="S280" s="42"/>
      <c r="T280" s="42"/>
      <c r="U280" s="42"/>
      <c r="V280" s="42"/>
      <c r="W280" s="42"/>
      <c r="X280" s="42"/>
      <c r="Y280" s="42"/>
      <c r="Z280" s="42"/>
      <c r="AA280" s="42"/>
      <c r="AB280" s="42"/>
      <c r="AC280" s="42"/>
      <c r="AD280" s="42"/>
      <c r="AE280" s="42"/>
      <c r="AF280" s="42"/>
      <c r="AG280" s="42"/>
      <c r="AH280" s="42"/>
      <c r="AI280" s="42"/>
      <c r="AJ280" s="42"/>
    </row>
    <row r="281" spans="1:36" ht="15.75">
      <c r="A281" s="797"/>
      <c r="B281" s="339"/>
      <c r="C281" s="42"/>
      <c r="D281" s="282"/>
      <c r="E281" s="42"/>
      <c r="F281" s="42"/>
      <c r="G281" s="42"/>
      <c r="H281" s="42"/>
      <c r="I281" s="42"/>
      <c r="J281" s="42"/>
      <c r="K281" s="42"/>
      <c r="L281" s="42"/>
      <c r="M281" s="42"/>
      <c r="N281" s="282"/>
      <c r="O281" s="42"/>
      <c r="P281" s="42"/>
      <c r="Q281" s="42"/>
      <c r="R281" s="42"/>
      <c r="S281" s="42"/>
      <c r="T281" s="42"/>
      <c r="U281" s="42"/>
      <c r="V281" s="42"/>
      <c r="W281" s="42"/>
      <c r="X281" s="42"/>
      <c r="Y281" s="42"/>
      <c r="Z281" s="42"/>
      <c r="AA281" s="42"/>
      <c r="AB281" s="42"/>
      <c r="AC281" s="42"/>
      <c r="AD281" s="42"/>
      <c r="AE281" s="42"/>
      <c r="AF281" s="42"/>
      <c r="AG281" s="42"/>
      <c r="AH281" s="42"/>
      <c r="AI281" s="42"/>
      <c r="AJ281" s="42"/>
    </row>
    <row r="282" spans="1:36" ht="15.75">
      <c r="A282" s="797"/>
      <c r="B282" s="339"/>
      <c r="C282" s="42"/>
      <c r="D282" s="282"/>
      <c r="E282" s="42"/>
      <c r="F282" s="42"/>
      <c r="G282" s="42"/>
      <c r="H282" s="42"/>
      <c r="I282" s="42"/>
      <c r="J282" s="42"/>
      <c r="K282" s="42"/>
      <c r="L282" s="42"/>
      <c r="M282" s="42"/>
      <c r="N282" s="282"/>
      <c r="O282" s="42"/>
      <c r="P282" s="42"/>
      <c r="Q282" s="42"/>
      <c r="R282" s="42"/>
      <c r="S282" s="42"/>
      <c r="T282" s="42"/>
      <c r="U282" s="42"/>
      <c r="V282" s="42"/>
      <c r="W282" s="42"/>
      <c r="X282" s="42"/>
      <c r="Y282" s="42"/>
      <c r="Z282" s="42"/>
      <c r="AA282" s="42"/>
      <c r="AB282" s="42"/>
      <c r="AC282" s="42"/>
      <c r="AD282" s="42"/>
      <c r="AE282" s="42"/>
      <c r="AF282" s="42"/>
      <c r="AG282" s="42"/>
      <c r="AH282" s="42"/>
      <c r="AI282" s="42"/>
      <c r="AJ282" s="42"/>
    </row>
    <row r="283" spans="1:36" ht="15.75">
      <c r="A283" s="797"/>
      <c r="B283" s="339"/>
      <c r="C283" s="42"/>
      <c r="D283" s="282"/>
      <c r="E283" s="42"/>
      <c r="F283" s="42"/>
      <c r="G283" s="42"/>
      <c r="H283" s="42"/>
      <c r="I283" s="42"/>
      <c r="J283" s="42"/>
      <c r="K283" s="42"/>
      <c r="L283" s="42"/>
      <c r="M283" s="42"/>
      <c r="N283" s="282"/>
      <c r="O283" s="42"/>
      <c r="P283" s="42"/>
      <c r="Q283" s="42"/>
      <c r="R283" s="42"/>
      <c r="S283" s="42"/>
      <c r="T283" s="42"/>
      <c r="U283" s="42"/>
      <c r="V283" s="42"/>
      <c r="W283" s="42"/>
      <c r="X283" s="42"/>
      <c r="Y283" s="42"/>
      <c r="Z283" s="42"/>
      <c r="AA283" s="42"/>
      <c r="AB283" s="42"/>
      <c r="AC283" s="42"/>
      <c r="AD283" s="42"/>
      <c r="AE283" s="42"/>
      <c r="AF283" s="42"/>
      <c r="AG283" s="42"/>
      <c r="AH283" s="42"/>
      <c r="AI283" s="42"/>
      <c r="AJ283" s="42"/>
    </row>
    <row r="284" spans="1:36" ht="15.75">
      <c r="A284" s="797"/>
      <c r="B284" s="339"/>
      <c r="C284" s="42"/>
      <c r="D284" s="282"/>
      <c r="E284" s="42"/>
      <c r="F284" s="42"/>
      <c r="G284" s="42"/>
      <c r="H284" s="42"/>
      <c r="I284" s="42"/>
      <c r="J284" s="42"/>
      <c r="K284" s="42"/>
      <c r="L284" s="42"/>
      <c r="M284" s="42"/>
      <c r="N284" s="282"/>
      <c r="O284" s="42"/>
      <c r="P284" s="42"/>
      <c r="Q284" s="42"/>
      <c r="R284" s="42"/>
      <c r="S284" s="42"/>
      <c r="T284" s="42"/>
      <c r="U284" s="42"/>
      <c r="V284" s="42"/>
      <c r="W284" s="42"/>
      <c r="X284" s="42"/>
      <c r="Y284" s="42"/>
      <c r="Z284" s="42"/>
      <c r="AA284" s="42"/>
      <c r="AB284" s="42"/>
      <c r="AC284" s="42"/>
      <c r="AD284" s="42"/>
      <c r="AE284" s="42"/>
      <c r="AF284" s="42"/>
      <c r="AG284" s="42"/>
      <c r="AH284" s="42"/>
      <c r="AI284" s="42"/>
      <c r="AJ284" s="42"/>
    </row>
    <row r="285" spans="1:36" ht="15.75">
      <c r="A285" s="797"/>
      <c r="B285" s="339"/>
      <c r="C285" s="42"/>
      <c r="D285" s="282"/>
      <c r="E285" s="42"/>
      <c r="F285" s="42"/>
      <c r="G285" s="42"/>
      <c r="H285" s="42"/>
      <c r="I285" s="42"/>
      <c r="J285" s="42"/>
      <c r="K285" s="42"/>
      <c r="L285" s="42"/>
      <c r="M285" s="42"/>
      <c r="N285" s="282"/>
      <c r="O285" s="42"/>
      <c r="P285" s="42"/>
      <c r="Q285" s="42"/>
      <c r="R285" s="42"/>
      <c r="S285" s="42"/>
      <c r="T285" s="42"/>
      <c r="U285" s="42"/>
      <c r="V285" s="42"/>
      <c r="W285" s="42"/>
      <c r="X285" s="42"/>
      <c r="Y285" s="42"/>
      <c r="Z285" s="42"/>
      <c r="AA285" s="42"/>
      <c r="AB285" s="42"/>
      <c r="AC285" s="42"/>
      <c r="AD285" s="42"/>
      <c r="AE285" s="42"/>
      <c r="AF285" s="42"/>
      <c r="AG285" s="42"/>
      <c r="AH285" s="42"/>
      <c r="AI285" s="42"/>
      <c r="AJ285" s="42"/>
    </row>
    <row r="286" spans="1:36" ht="15.75">
      <c r="A286" s="797"/>
      <c r="B286" s="339"/>
      <c r="C286" s="42"/>
      <c r="D286" s="282"/>
      <c r="E286" s="42"/>
      <c r="F286" s="42"/>
      <c r="G286" s="42"/>
      <c r="H286" s="42"/>
      <c r="I286" s="42"/>
      <c r="J286" s="42"/>
      <c r="K286" s="42"/>
      <c r="L286" s="42"/>
      <c r="M286" s="42"/>
      <c r="N286" s="282"/>
      <c r="O286" s="42"/>
      <c r="P286" s="42"/>
      <c r="Q286" s="42"/>
      <c r="R286" s="42"/>
      <c r="S286" s="42"/>
      <c r="T286" s="42"/>
      <c r="U286" s="42"/>
      <c r="V286" s="42"/>
      <c r="W286" s="42"/>
      <c r="X286" s="42"/>
      <c r="Y286" s="42"/>
      <c r="Z286" s="42"/>
      <c r="AA286" s="42"/>
      <c r="AB286" s="42"/>
      <c r="AC286" s="42"/>
      <c r="AD286" s="42"/>
      <c r="AE286" s="42"/>
      <c r="AF286" s="42"/>
      <c r="AG286" s="42"/>
      <c r="AH286" s="42"/>
      <c r="AI286" s="42"/>
      <c r="AJ286" s="42"/>
    </row>
    <row r="287" spans="1:36" ht="15.75">
      <c r="A287" s="797"/>
      <c r="B287" s="339"/>
      <c r="C287" s="42"/>
      <c r="D287" s="282"/>
      <c r="E287" s="42"/>
      <c r="F287" s="42"/>
      <c r="G287" s="42"/>
      <c r="H287" s="42"/>
      <c r="I287" s="42"/>
      <c r="J287" s="42"/>
      <c r="K287" s="42"/>
      <c r="L287" s="42"/>
      <c r="M287" s="42"/>
      <c r="N287" s="282"/>
      <c r="O287" s="42"/>
      <c r="P287" s="42"/>
      <c r="Q287" s="42"/>
      <c r="R287" s="42"/>
      <c r="S287" s="42"/>
      <c r="T287" s="42"/>
      <c r="U287" s="42"/>
      <c r="V287" s="42"/>
      <c r="W287" s="42"/>
      <c r="X287" s="42"/>
      <c r="Y287" s="42"/>
      <c r="Z287" s="42"/>
      <c r="AA287" s="42"/>
      <c r="AB287" s="42"/>
      <c r="AC287" s="42"/>
      <c r="AD287" s="42"/>
      <c r="AE287" s="42"/>
      <c r="AF287" s="42"/>
      <c r="AG287" s="42"/>
      <c r="AH287" s="42"/>
      <c r="AI287" s="42"/>
      <c r="AJ287" s="42"/>
    </row>
    <row r="288" spans="1:36" ht="15.75">
      <c r="A288" s="797"/>
      <c r="B288" s="339"/>
      <c r="C288" s="42"/>
      <c r="D288" s="282"/>
      <c r="E288" s="42"/>
      <c r="F288" s="42"/>
      <c r="G288" s="42"/>
      <c r="H288" s="42"/>
      <c r="I288" s="42"/>
      <c r="J288" s="42"/>
      <c r="K288" s="42"/>
      <c r="L288" s="42"/>
      <c r="M288" s="42"/>
      <c r="N288" s="282"/>
      <c r="O288" s="42"/>
      <c r="P288" s="42"/>
      <c r="Q288" s="42"/>
      <c r="R288" s="42"/>
      <c r="S288" s="42"/>
      <c r="T288" s="42"/>
      <c r="U288" s="42"/>
      <c r="V288" s="42"/>
      <c r="W288" s="42"/>
      <c r="X288" s="42"/>
      <c r="Y288" s="42"/>
      <c r="Z288" s="42"/>
      <c r="AA288" s="42"/>
      <c r="AB288" s="42"/>
      <c r="AC288" s="42"/>
      <c r="AD288" s="42"/>
      <c r="AE288" s="42"/>
      <c r="AF288" s="42"/>
      <c r="AG288" s="42"/>
      <c r="AH288" s="42"/>
      <c r="AI288" s="42"/>
      <c r="AJ288" s="42"/>
    </row>
    <row r="289" spans="1:36" ht="15.75">
      <c r="A289" s="797"/>
      <c r="B289" s="339"/>
      <c r="C289" s="42"/>
      <c r="D289" s="282"/>
      <c r="E289" s="42"/>
      <c r="F289" s="42"/>
      <c r="G289" s="42"/>
      <c r="H289" s="42"/>
      <c r="I289" s="42"/>
      <c r="J289" s="42"/>
      <c r="K289" s="42"/>
      <c r="L289" s="42"/>
      <c r="M289" s="42"/>
      <c r="N289" s="282"/>
      <c r="O289" s="42"/>
      <c r="P289" s="42"/>
      <c r="Q289" s="42"/>
      <c r="R289" s="42"/>
      <c r="S289" s="42"/>
      <c r="T289" s="42"/>
      <c r="U289" s="42"/>
      <c r="V289" s="42"/>
      <c r="W289" s="42"/>
      <c r="X289" s="42"/>
      <c r="Y289" s="42"/>
      <c r="Z289" s="42"/>
      <c r="AA289" s="42"/>
      <c r="AB289" s="42"/>
      <c r="AC289" s="42"/>
      <c r="AD289" s="42"/>
      <c r="AE289" s="42"/>
      <c r="AF289" s="42"/>
      <c r="AG289" s="42"/>
      <c r="AH289" s="42"/>
      <c r="AI289" s="42"/>
      <c r="AJ289" s="42"/>
    </row>
    <row r="290" spans="1:36" ht="15.75">
      <c r="A290" s="797"/>
      <c r="B290" s="339"/>
      <c r="C290" s="42"/>
      <c r="D290" s="282"/>
      <c r="E290" s="42"/>
      <c r="F290" s="42"/>
      <c r="G290" s="42"/>
      <c r="H290" s="42"/>
      <c r="I290" s="42"/>
      <c r="J290" s="42"/>
      <c r="K290" s="42"/>
      <c r="L290" s="42"/>
      <c r="M290" s="42"/>
      <c r="N290" s="282"/>
      <c r="O290" s="42"/>
      <c r="P290" s="42"/>
      <c r="Q290" s="42"/>
      <c r="R290" s="42"/>
      <c r="S290" s="42"/>
      <c r="T290" s="42"/>
      <c r="U290" s="42"/>
      <c r="V290" s="42"/>
      <c r="W290" s="42"/>
      <c r="X290" s="42"/>
      <c r="Y290" s="42"/>
      <c r="Z290" s="42"/>
      <c r="AA290" s="42"/>
      <c r="AB290" s="42"/>
      <c r="AC290" s="42"/>
      <c r="AD290" s="42"/>
      <c r="AE290" s="42"/>
      <c r="AF290" s="42"/>
      <c r="AG290" s="42"/>
      <c r="AH290" s="42"/>
      <c r="AI290" s="42"/>
      <c r="AJ290" s="42"/>
    </row>
    <row r="291" spans="1:36" ht="15.75">
      <c r="A291" s="797"/>
      <c r="B291" s="339"/>
      <c r="C291" s="42"/>
      <c r="D291" s="282"/>
      <c r="E291" s="42"/>
      <c r="F291" s="42"/>
      <c r="G291" s="42"/>
      <c r="H291" s="42"/>
      <c r="I291" s="42"/>
      <c r="J291" s="42"/>
      <c r="K291" s="42"/>
      <c r="L291" s="42"/>
      <c r="M291" s="42"/>
      <c r="N291" s="282"/>
      <c r="O291" s="42"/>
      <c r="P291" s="42"/>
      <c r="Q291" s="42"/>
      <c r="R291" s="42"/>
      <c r="S291" s="42"/>
      <c r="T291" s="42"/>
      <c r="U291" s="42"/>
      <c r="V291" s="42"/>
      <c r="W291" s="42"/>
      <c r="X291" s="42"/>
      <c r="Y291" s="42"/>
      <c r="Z291" s="42"/>
      <c r="AA291" s="42"/>
      <c r="AB291" s="42"/>
      <c r="AC291" s="42"/>
      <c r="AD291" s="42"/>
      <c r="AE291" s="42"/>
      <c r="AF291" s="42"/>
      <c r="AG291" s="42"/>
      <c r="AH291" s="42"/>
      <c r="AI291" s="42"/>
      <c r="AJ291" s="42"/>
    </row>
    <row r="292" spans="1:36" ht="15.75">
      <c r="A292" s="797"/>
      <c r="B292" s="339"/>
      <c r="C292" s="42"/>
      <c r="D292" s="282"/>
      <c r="E292" s="42"/>
      <c r="F292" s="42"/>
      <c r="G292" s="42"/>
      <c r="H292" s="42"/>
      <c r="I292" s="42"/>
      <c r="J292" s="42"/>
      <c r="K292" s="42"/>
      <c r="L292" s="42"/>
      <c r="M292" s="42"/>
      <c r="N292" s="282"/>
      <c r="O292" s="42"/>
      <c r="P292" s="42"/>
      <c r="Q292" s="42"/>
      <c r="R292" s="42"/>
      <c r="S292" s="42"/>
      <c r="T292" s="42"/>
      <c r="U292" s="42"/>
      <c r="V292" s="42"/>
      <c r="W292" s="42"/>
      <c r="X292" s="42"/>
      <c r="Y292" s="42"/>
      <c r="Z292" s="42"/>
      <c r="AA292" s="42"/>
      <c r="AB292" s="42"/>
      <c r="AC292" s="42"/>
      <c r="AD292" s="42"/>
      <c r="AE292" s="42"/>
      <c r="AF292" s="42"/>
      <c r="AG292" s="42"/>
      <c r="AH292" s="42"/>
      <c r="AI292" s="42"/>
      <c r="AJ292" s="42"/>
    </row>
    <row r="293" spans="1:36" ht="15.75">
      <c r="A293" s="797"/>
      <c r="B293" s="339"/>
      <c r="C293" s="42"/>
      <c r="D293" s="282"/>
      <c r="E293" s="42"/>
      <c r="F293" s="42"/>
      <c r="G293" s="42"/>
      <c r="H293" s="42"/>
      <c r="I293" s="42"/>
      <c r="J293" s="42"/>
      <c r="K293" s="42"/>
      <c r="L293" s="42"/>
      <c r="M293" s="42"/>
      <c r="N293" s="282"/>
      <c r="O293" s="42"/>
      <c r="P293" s="42"/>
      <c r="Q293" s="42"/>
      <c r="R293" s="42"/>
      <c r="S293" s="42"/>
      <c r="T293" s="42"/>
      <c r="U293" s="42"/>
      <c r="V293" s="42"/>
      <c r="W293" s="42"/>
      <c r="X293" s="42"/>
      <c r="Y293" s="42"/>
      <c r="Z293" s="42"/>
      <c r="AA293" s="42"/>
      <c r="AB293" s="42"/>
      <c r="AC293" s="42"/>
      <c r="AD293" s="42"/>
      <c r="AE293" s="42"/>
      <c r="AF293" s="42"/>
      <c r="AG293" s="42"/>
      <c r="AH293" s="42"/>
      <c r="AI293" s="42"/>
      <c r="AJ293" s="42"/>
    </row>
    <row r="294" spans="1:36" ht="15.75">
      <c r="A294" s="797"/>
      <c r="B294" s="339"/>
      <c r="C294" s="42"/>
      <c r="D294" s="282"/>
      <c r="E294" s="42"/>
      <c r="F294" s="42"/>
      <c r="G294" s="42"/>
      <c r="H294" s="42"/>
      <c r="I294" s="42"/>
      <c r="J294" s="42"/>
      <c r="K294" s="42"/>
      <c r="L294" s="42"/>
      <c r="M294" s="42"/>
      <c r="N294" s="282"/>
      <c r="O294" s="42"/>
      <c r="P294" s="42"/>
      <c r="Q294" s="42"/>
      <c r="R294" s="42"/>
      <c r="S294" s="42"/>
      <c r="T294" s="42"/>
      <c r="U294" s="42"/>
      <c r="V294" s="42"/>
      <c r="W294" s="42"/>
      <c r="X294" s="42"/>
      <c r="Y294" s="42"/>
      <c r="Z294" s="42"/>
      <c r="AA294" s="42"/>
      <c r="AB294" s="42"/>
      <c r="AC294" s="42"/>
      <c r="AD294" s="42"/>
      <c r="AE294" s="42"/>
      <c r="AF294" s="42"/>
      <c r="AG294" s="42"/>
      <c r="AH294" s="42"/>
      <c r="AI294" s="42"/>
      <c r="AJ294" s="42"/>
    </row>
    <row r="295" spans="1:36" ht="15.75">
      <c r="A295" s="797"/>
      <c r="B295" s="339"/>
      <c r="C295" s="42"/>
      <c r="D295" s="282"/>
      <c r="E295" s="42"/>
      <c r="F295" s="42"/>
      <c r="G295" s="42"/>
      <c r="H295" s="42"/>
      <c r="I295" s="42"/>
      <c r="J295" s="42"/>
      <c r="K295" s="42"/>
      <c r="L295" s="42"/>
      <c r="M295" s="42"/>
      <c r="N295" s="282"/>
      <c r="O295" s="42"/>
      <c r="P295" s="42"/>
      <c r="Q295" s="42"/>
      <c r="R295" s="42"/>
      <c r="S295" s="42"/>
      <c r="T295" s="42"/>
      <c r="U295" s="42"/>
      <c r="V295" s="42"/>
      <c r="W295" s="42"/>
      <c r="X295" s="42"/>
      <c r="Y295" s="42"/>
      <c r="Z295" s="42"/>
      <c r="AA295" s="42"/>
      <c r="AB295" s="42"/>
      <c r="AC295" s="42"/>
      <c r="AD295" s="42"/>
      <c r="AE295" s="42"/>
      <c r="AF295" s="42"/>
      <c r="AG295" s="42"/>
      <c r="AH295" s="42"/>
      <c r="AI295" s="42"/>
      <c r="AJ295" s="42"/>
    </row>
    <row r="296" spans="1:36" ht="15.75">
      <c r="A296" s="797"/>
      <c r="B296" s="339"/>
      <c r="C296" s="42"/>
      <c r="D296" s="282"/>
      <c r="E296" s="42"/>
      <c r="F296" s="42"/>
      <c r="G296" s="42"/>
      <c r="H296" s="42"/>
      <c r="I296" s="42"/>
      <c r="J296" s="42"/>
      <c r="K296" s="42"/>
      <c r="L296" s="42"/>
      <c r="M296" s="42"/>
      <c r="N296" s="282"/>
      <c r="O296" s="42"/>
      <c r="P296" s="42"/>
      <c r="Q296" s="42"/>
      <c r="R296" s="42"/>
      <c r="S296" s="42"/>
      <c r="T296" s="42"/>
      <c r="U296" s="42"/>
      <c r="V296" s="42"/>
      <c r="W296" s="42"/>
      <c r="X296" s="42"/>
      <c r="Y296" s="42"/>
      <c r="Z296" s="42"/>
      <c r="AA296" s="42"/>
      <c r="AB296" s="42"/>
      <c r="AC296" s="42"/>
      <c r="AD296" s="42"/>
      <c r="AE296" s="42"/>
      <c r="AF296" s="42"/>
      <c r="AG296" s="42"/>
      <c r="AH296" s="42"/>
      <c r="AI296" s="42"/>
      <c r="AJ296" s="42"/>
    </row>
    <row r="297" spans="1:36" ht="15.75">
      <c r="A297" s="797"/>
      <c r="B297" s="339"/>
      <c r="C297" s="42"/>
      <c r="D297" s="282"/>
      <c r="E297" s="42"/>
      <c r="F297" s="42"/>
      <c r="G297" s="42"/>
      <c r="H297" s="42"/>
      <c r="I297" s="42"/>
      <c r="J297" s="42"/>
      <c r="K297" s="42"/>
      <c r="L297" s="42"/>
      <c r="M297" s="42"/>
      <c r="N297" s="282"/>
      <c r="O297" s="42"/>
      <c r="P297" s="42"/>
      <c r="Q297" s="42"/>
      <c r="R297" s="42"/>
      <c r="S297" s="42"/>
      <c r="T297" s="42"/>
      <c r="U297" s="42"/>
      <c r="V297" s="42"/>
      <c r="W297" s="42"/>
      <c r="X297" s="42"/>
      <c r="Y297" s="42"/>
      <c r="Z297" s="42"/>
      <c r="AA297" s="42"/>
      <c r="AB297" s="42"/>
      <c r="AC297" s="42"/>
      <c r="AD297" s="42"/>
      <c r="AE297" s="42"/>
      <c r="AF297" s="42"/>
      <c r="AG297" s="42"/>
      <c r="AH297" s="42"/>
      <c r="AI297" s="42"/>
      <c r="AJ297" s="42"/>
    </row>
    <row r="298" spans="1:36" ht="15.75">
      <c r="A298" s="797"/>
      <c r="B298" s="339"/>
      <c r="C298" s="42"/>
      <c r="D298" s="282"/>
      <c r="E298" s="42"/>
      <c r="F298" s="42"/>
      <c r="G298" s="42"/>
      <c r="H298" s="42"/>
      <c r="I298" s="42"/>
      <c r="J298" s="42"/>
      <c r="K298" s="42"/>
      <c r="L298" s="42"/>
      <c r="M298" s="42"/>
      <c r="N298" s="282"/>
      <c r="O298" s="42"/>
      <c r="P298" s="42"/>
      <c r="Q298" s="42"/>
      <c r="R298" s="42"/>
      <c r="S298" s="42"/>
      <c r="T298" s="42"/>
      <c r="U298" s="42"/>
      <c r="V298" s="42"/>
      <c r="W298" s="42"/>
      <c r="X298" s="42"/>
      <c r="Y298" s="42"/>
      <c r="Z298" s="42"/>
      <c r="AA298" s="42"/>
      <c r="AB298" s="42"/>
      <c r="AC298" s="42"/>
      <c r="AD298" s="42"/>
      <c r="AE298" s="42"/>
      <c r="AF298" s="42"/>
      <c r="AG298" s="42"/>
      <c r="AH298" s="42"/>
      <c r="AI298" s="42"/>
      <c r="AJ298" s="42"/>
    </row>
    <row r="299" spans="1:36" ht="15.75">
      <c r="A299" s="797"/>
      <c r="B299" s="339"/>
      <c r="C299" s="42"/>
      <c r="D299" s="282"/>
      <c r="E299" s="42"/>
      <c r="F299" s="42"/>
      <c r="G299" s="42"/>
      <c r="H299" s="42"/>
      <c r="I299" s="42"/>
      <c r="J299" s="42"/>
      <c r="K299" s="42"/>
      <c r="L299" s="42"/>
      <c r="M299" s="42"/>
      <c r="N299" s="282"/>
      <c r="O299" s="42"/>
      <c r="P299" s="42"/>
      <c r="Q299" s="42"/>
      <c r="R299" s="42"/>
      <c r="S299" s="42"/>
      <c r="T299" s="42"/>
      <c r="U299" s="42"/>
      <c r="V299" s="42"/>
      <c r="W299" s="42"/>
      <c r="X299" s="42"/>
      <c r="Y299" s="42"/>
      <c r="Z299" s="42"/>
      <c r="AA299" s="42"/>
      <c r="AB299" s="42"/>
      <c r="AC299" s="42"/>
      <c r="AD299" s="42"/>
      <c r="AE299" s="42"/>
      <c r="AF299" s="42"/>
      <c r="AG299" s="42"/>
      <c r="AH299" s="42"/>
      <c r="AI299" s="42"/>
      <c r="AJ299" s="42"/>
    </row>
    <row r="300" spans="1:36" ht="15.75">
      <c r="A300" s="797"/>
      <c r="B300" s="339"/>
      <c r="C300" s="42"/>
      <c r="D300" s="282"/>
      <c r="E300" s="42"/>
      <c r="F300" s="42"/>
      <c r="G300" s="42"/>
      <c r="H300" s="42"/>
      <c r="I300" s="42"/>
      <c r="J300" s="42"/>
      <c r="K300" s="42"/>
      <c r="L300" s="42"/>
      <c r="M300" s="42"/>
      <c r="N300" s="282"/>
      <c r="O300" s="42"/>
      <c r="P300" s="42"/>
      <c r="Q300" s="42"/>
      <c r="R300" s="42"/>
      <c r="S300" s="42"/>
      <c r="T300" s="42"/>
      <c r="U300" s="42"/>
      <c r="V300" s="42"/>
      <c r="W300" s="42"/>
      <c r="X300" s="42"/>
      <c r="Y300" s="42"/>
      <c r="Z300" s="42"/>
      <c r="AA300" s="42"/>
      <c r="AB300" s="42"/>
      <c r="AC300" s="42"/>
      <c r="AD300" s="42"/>
      <c r="AE300" s="42"/>
      <c r="AF300" s="42"/>
      <c r="AG300" s="42"/>
      <c r="AH300" s="42"/>
      <c r="AI300" s="42"/>
      <c r="AJ300" s="42"/>
    </row>
    <row r="301" spans="1:36" ht="15.75">
      <c r="A301" s="797"/>
      <c r="B301" s="339"/>
      <c r="C301" s="42"/>
      <c r="D301" s="282"/>
      <c r="E301" s="42"/>
      <c r="F301" s="42"/>
      <c r="G301" s="42"/>
      <c r="H301" s="42"/>
      <c r="I301" s="42"/>
      <c r="J301" s="42"/>
      <c r="K301" s="42"/>
      <c r="L301" s="42"/>
      <c r="M301" s="42"/>
      <c r="N301" s="282"/>
      <c r="O301" s="42"/>
      <c r="P301" s="42"/>
      <c r="Q301" s="42"/>
      <c r="R301" s="42"/>
      <c r="S301" s="42"/>
      <c r="T301" s="42"/>
      <c r="U301" s="42"/>
      <c r="V301" s="42"/>
      <c r="W301" s="42"/>
      <c r="X301" s="42"/>
      <c r="Y301" s="42"/>
      <c r="Z301" s="42"/>
      <c r="AA301" s="42"/>
      <c r="AB301" s="42"/>
      <c r="AC301" s="42"/>
      <c r="AD301" s="42"/>
      <c r="AE301" s="42"/>
      <c r="AF301" s="42"/>
      <c r="AG301" s="42"/>
      <c r="AH301" s="42"/>
      <c r="AI301" s="42"/>
      <c r="AJ301" s="42"/>
    </row>
    <row r="302" spans="1:36" ht="15.75">
      <c r="A302" s="797"/>
      <c r="B302" s="339"/>
      <c r="C302" s="42"/>
      <c r="D302" s="282"/>
      <c r="E302" s="42"/>
      <c r="F302" s="42"/>
      <c r="G302" s="42"/>
      <c r="H302" s="42"/>
      <c r="I302" s="42"/>
      <c r="J302" s="42"/>
      <c r="K302" s="42"/>
      <c r="L302" s="42"/>
      <c r="M302" s="42"/>
      <c r="N302" s="282"/>
      <c r="O302" s="42"/>
      <c r="P302" s="42"/>
      <c r="Q302" s="42"/>
      <c r="R302" s="42"/>
      <c r="S302" s="42"/>
      <c r="T302" s="42"/>
      <c r="U302" s="42"/>
      <c r="V302" s="42"/>
      <c r="W302" s="42"/>
      <c r="X302" s="42"/>
      <c r="Y302" s="42"/>
      <c r="Z302" s="42"/>
      <c r="AA302" s="42"/>
      <c r="AB302" s="42"/>
      <c r="AC302" s="42"/>
      <c r="AD302" s="42"/>
      <c r="AE302" s="42"/>
      <c r="AF302" s="42"/>
      <c r="AG302" s="42"/>
      <c r="AH302" s="42"/>
      <c r="AI302" s="42"/>
      <c r="AJ302" s="42"/>
    </row>
    <row r="303" spans="1:36" ht="15.75">
      <c r="A303" s="797"/>
      <c r="B303" s="339"/>
      <c r="C303" s="42"/>
      <c r="D303" s="282"/>
      <c r="E303" s="42"/>
      <c r="F303" s="42"/>
      <c r="G303" s="42"/>
      <c r="H303" s="42"/>
      <c r="I303" s="42"/>
      <c r="J303" s="42"/>
      <c r="K303" s="42"/>
      <c r="L303" s="42"/>
      <c r="M303" s="42"/>
      <c r="N303" s="282"/>
      <c r="O303" s="42"/>
      <c r="P303" s="42"/>
      <c r="Q303" s="42"/>
      <c r="R303" s="42"/>
      <c r="S303" s="42"/>
      <c r="T303" s="42"/>
      <c r="U303" s="42"/>
      <c r="V303" s="42"/>
      <c r="W303" s="42"/>
      <c r="X303" s="42"/>
      <c r="Y303" s="42"/>
      <c r="Z303" s="42"/>
      <c r="AA303" s="42"/>
      <c r="AB303" s="42"/>
      <c r="AC303" s="42"/>
      <c r="AD303" s="42"/>
      <c r="AE303" s="42"/>
      <c r="AF303" s="42"/>
      <c r="AG303" s="42"/>
      <c r="AH303" s="42"/>
      <c r="AI303" s="42"/>
      <c r="AJ303" s="42"/>
    </row>
    <row r="304" spans="1:36" ht="15.75">
      <c r="A304" s="797"/>
      <c r="B304" s="339"/>
      <c r="C304" s="42"/>
      <c r="D304" s="282"/>
      <c r="E304" s="42"/>
      <c r="F304" s="42"/>
      <c r="G304" s="42"/>
      <c r="H304" s="42"/>
      <c r="I304" s="42"/>
      <c r="J304" s="42"/>
      <c r="K304" s="42"/>
      <c r="L304" s="42"/>
      <c r="M304" s="42"/>
      <c r="N304" s="282"/>
      <c r="O304" s="42"/>
      <c r="P304" s="42"/>
      <c r="Q304" s="42"/>
      <c r="R304" s="42"/>
      <c r="S304" s="42"/>
      <c r="T304" s="42"/>
      <c r="U304" s="42"/>
      <c r="V304" s="42"/>
      <c r="W304" s="42"/>
      <c r="X304" s="42"/>
      <c r="Y304" s="42"/>
      <c r="Z304" s="42"/>
      <c r="AA304" s="42"/>
      <c r="AB304" s="42"/>
      <c r="AC304" s="42"/>
      <c r="AD304" s="42"/>
      <c r="AE304" s="42"/>
      <c r="AF304" s="42"/>
      <c r="AG304" s="42"/>
      <c r="AH304" s="42"/>
      <c r="AI304" s="42"/>
      <c r="AJ304" s="42"/>
    </row>
    <row r="305" spans="1:36" ht="15.75">
      <c r="A305" s="797"/>
      <c r="B305" s="339"/>
      <c r="C305" s="42"/>
      <c r="D305" s="282"/>
      <c r="E305" s="42"/>
      <c r="F305" s="42"/>
      <c r="G305" s="42"/>
      <c r="H305" s="42"/>
      <c r="I305" s="42"/>
      <c r="J305" s="42"/>
      <c r="K305" s="42"/>
      <c r="L305" s="42"/>
      <c r="M305" s="42"/>
      <c r="N305" s="282"/>
      <c r="O305" s="42"/>
      <c r="P305" s="42"/>
      <c r="Q305" s="42"/>
      <c r="R305" s="42"/>
      <c r="S305" s="42"/>
      <c r="T305" s="42"/>
      <c r="U305" s="42"/>
      <c r="V305" s="42"/>
      <c r="W305" s="42"/>
      <c r="X305" s="42"/>
      <c r="Y305" s="42"/>
      <c r="Z305" s="42"/>
      <c r="AA305" s="42"/>
      <c r="AB305" s="42"/>
      <c r="AC305" s="42"/>
      <c r="AD305" s="42"/>
      <c r="AE305" s="42"/>
      <c r="AF305" s="42"/>
      <c r="AG305" s="42"/>
      <c r="AH305" s="42"/>
      <c r="AI305" s="42"/>
      <c r="AJ305" s="42"/>
    </row>
    <row r="306" spans="1:36" ht="15.75">
      <c r="A306" s="797"/>
      <c r="B306" s="339"/>
      <c r="C306" s="42"/>
      <c r="D306" s="282"/>
      <c r="E306" s="42"/>
      <c r="F306" s="42"/>
      <c r="G306" s="42"/>
      <c r="H306" s="42"/>
      <c r="I306" s="42"/>
      <c r="J306" s="42"/>
      <c r="K306" s="42"/>
      <c r="L306" s="42"/>
      <c r="M306" s="42"/>
      <c r="N306" s="282"/>
      <c r="O306" s="42"/>
      <c r="P306" s="42"/>
      <c r="Q306" s="42"/>
      <c r="R306" s="42"/>
      <c r="S306" s="42"/>
      <c r="T306" s="42"/>
      <c r="U306" s="42"/>
      <c r="V306" s="42"/>
      <c r="W306" s="42"/>
      <c r="X306" s="42"/>
      <c r="Y306" s="42"/>
      <c r="Z306" s="42"/>
      <c r="AA306" s="42"/>
      <c r="AB306" s="42"/>
      <c r="AC306" s="42"/>
      <c r="AD306" s="42"/>
      <c r="AE306" s="42"/>
      <c r="AF306" s="42"/>
      <c r="AG306" s="42"/>
      <c r="AH306" s="42"/>
      <c r="AI306" s="42"/>
      <c r="AJ306" s="42"/>
    </row>
    <row r="307" spans="1:36" ht="15.75">
      <c r="A307" s="797"/>
      <c r="B307" s="339"/>
      <c r="C307" s="42"/>
      <c r="D307" s="282"/>
      <c r="E307" s="42"/>
      <c r="F307" s="42"/>
      <c r="G307" s="42"/>
      <c r="H307" s="42"/>
      <c r="I307" s="42"/>
      <c r="J307" s="42"/>
      <c r="K307" s="42"/>
      <c r="L307" s="42"/>
      <c r="M307" s="42"/>
      <c r="N307" s="282"/>
      <c r="O307" s="42"/>
      <c r="P307" s="42"/>
      <c r="Q307" s="42"/>
      <c r="R307" s="42"/>
      <c r="S307" s="42"/>
      <c r="T307" s="42"/>
      <c r="U307" s="42"/>
      <c r="V307" s="42"/>
      <c r="W307" s="42"/>
      <c r="X307" s="42"/>
      <c r="Y307" s="42"/>
      <c r="Z307" s="42"/>
      <c r="AA307" s="42"/>
      <c r="AB307" s="42"/>
      <c r="AC307" s="42"/>
      <c r="AD307" s="42"/>
      <c r="AE307" s="42"/>
      <c r="AF307" s="42"/>
      <c r="AG307" s="42"/>
      <c r="AH307" s="42"/>
      <c r="AI307" s="42"/>
      <c r="AJ307" s="42"/>
    </row>
    <row r="308" spans="1:36" ht="15.75">
      <c r="A308" s="797"/>
      <c r="B308" s="339"/>
      <c r="C308" s="42"/>
      <c r="D308" s="282"/>
      <c r="E308" s="42"/>
      <c r="F308" s="42"/>
      <c r="G308" s="42"/>
      <c r="H308" s="42"/>
      <c r="I308" s="42"/>
      <c r="J308" s="42"/>
      <c r="K308" s="42"/>
      <c r="L308" s="42"/>
      <c r="M308" s="42"/>
      <c r="N308" s="282"/>
      <c r="O308" s="42"/>
      <c r="P308" s="42"/>
      <c r="Q308" s="42"/>
      <c r="R308" s="42"/>
      <c r="S308" s="42"/>
      <c r="T308" s="42"/>
      <c r="U308" s="42"/>
      <c r="V308" s="42"/>
      <c r="W308" s="42"/>
      <c r="X308" s="42"/>
      <c r="Y308" s="42"/>
      <c r="Z308" s="42"/>
      <c r="AA308" s="42"/>
      <c r="AB308" s="42"/>
      <c r="AC308" s="42"/>
      <c r="AD308" s="42"/>
      <c r="AE308" s="42"/>
      <c r="AF308" s="42"/>
      <c r="AG308" s="42"/>
      <c r="AH308" s="42"/>
      <c r="AI308" s="42"/>
      <c r="AJ308" s="42"/>
    </row>
    <row r="309" spans="1:36" ht="15.75">
      <c r="A309" s="797"/>
      <c r="B309" s="339"/>
      <c r="C309" s="42"/>
      <c r="D309" s="282"/>
      <c r="E309" s="42"/>
      <c r="F309" s="42"/>
      <c r="G309" s="42"/>
      <c r="H309" s="42"/>
      <c r="I309" s="42"/>
      <c r="J309" s="42"/>
      <c r="K309" s="42"/>
      <c r="L309" s="42"/>
      <c r="M309" s="42"/>
      <c r="N309" s="282"/>
      <c r="O309" s="42"/>
      <c r="P309" s="42"/>
      <c r="Q309" s="42"/>
      <c r="R309" s="42"/>
      <c r="S309" s="42"/>
      <c r="T309" s="42"/>
      <c r="U309" s="42"/>
      <c r="V309" s="42"/>
      <c r="W309" s="42"/>
      <c r="X309" s="42"/>
      <c r="Y309" s="42"/>
      <c r="Z309" s="42"/>
      <c r="AA309" s="42"/>
      <c r="AB309" s="42"/>
      <c r="AC309" s="42"/>
      <c r="AD309" s="42"/>
      <c r="AE309" s="42"/>
      <c r="AF309" s="42"/>
      <c r="AG309" s="42"/>
      <c r="AH309" s="42"/>
      <c r="AI309" s="42"/>
      <c r="AJ309" s="42"/>
    </row>
    <row r="310" spans="1:36" ht="15.75">
      <c r="A310" s="797"/>
      <c r="B310" s="339"/>
      <c r="C310" s="42"/>
      <c r="D310" s="282"/>
      <c r="E310" s="42"/>
      <c r="F310" s="42"/>
      <c r="G310" s="42"/>
      <c r="H310" s="42"/>
      <c r="I310" s="42"/>
      <c r="J310" s="42"/>
      <c r="K310" s="42"/>
      <c r="L310" s="42"/>
      <c r="M310" s="42"/>
      <c r="N310" s="282"/>
      <c r="O310" s="42"/>
      <c r="P310" s="42"/>
      <c r="Q310" s="42"/>
      <c r="R310" s="42"/>
      <c r="S310" s="42"/>
      <c r="T310" s="42"/>
      <c r="U310" s="42"/>
      <c r="V310" s="42"/>
      <c r="W310" s="42"/>
      <c r="X310" s="42"/>
      <c r="Y310" s="42"/>
      <c r="Z310" s="42"/>
      <c r="AA310" s="42"/>
      <c r="AB310" s="42"/>
      <c r="AC310" s="42"/>
      <c r="AD310" s="42"/>
      <c r="AE310" s="42"/>
      <c r="AF310" s="42"/>
      <c r="AG310" s="42"/>
      <c r="AH310" s="42"/>
      <c r="AI310" s="42"/>
      <c r="AJ310" s="42"/>
    </row>
    <row r="311" spans="1:36" ht="15.75">
      <c r="A311" s="797"/>
      <c r="B311" s="339"/>
      <c r="C311" s="42"/>
      <c r="D311" s="282"/>
      <c r="E311" s="42"/>
      <c r="F311" s="42"/>
      <c r="G311" s="42"/>
      <c r="H311" s="42"/>
      <c r="I311" s="42"/>
      <c r="J311" s="42"/>
      <c r="K311" s="42"/>
      <c r="L311" s="42"/>
      <c r="M311" s="42"/>
      <c r="N311" s="282"/>
      <c r="O311" s="42"/>
      <c r="P311" s="42"/>
      <c r="Q311" s="42"/>
      <c r="R311" s="42"/>
      <c r="S311" s="42"/>
      <c r="T311" s="42"/>
      <c r="U311" s="42"/>
      <c r="V311" s="42"/>
      <c r="W311" s="42"/>
      <c r="X311" s="42"/>
      <c r="Y311" s="42"/>
      <c r="Z311" s="42"/>
      <c r="AA311" s="42"/>
      <c r="AB311" s="42"/>
      <c r="AC311" s="42"/>
      <c r="AD311" s="42"/>
      <c r="AE311" s="42"/>
      <c r="AF311" s="42"/>
      <c r="AG311" s="42"/>
      <c r="AH311" s="42"/>
      <c r="AI311" s="42"/>
      <c r="AJ311" s="42"/>
    </row>
    <row r="312" spans="1:36" ht="15.75">
      <c r="A312" s="797"/>
      <c r="B312" s="339"/>
      <c r="C312" s="42"/>
      <c r="D312" s="282"/>
      <c r="E312" s="42"/>
      <c r="F312" s="42"/>
      <c r="G312" s="42"/>
      <c r="H312" s="42"/>
      <c r="I312" s="42"/>
      <c r="J312" s="42"/>
      <c r="K312" s="42"/>
      <c r="L312" s="42"/>
      <c r="M312" s="42"/>
      <c r="N312" s="282"/>
      <c r="O312" s="42"/>
      <c r="P312" s="42"/>
      <c r="Q312" s="42"/>
      <c r="R312" s="42"/>
      <c r="S312" s="42"/>
      <c r="T312" s="42"/>
      <c r="U312" s="42"/>
      <c r="V312" s="42"/>
      <c r="W312" s="42"/>
      <c r="X312" s="42"/>
      <c r="Y312" s="42"/>
      <c r="Z312" s="42"/>
      <c r="AA312" s="42"/>
      <c r="AB312" s="42"/>
      <c r="AC312" s="42"/>
      <c r="AD312" s="42"/>
      <c r="AE312" s="42"/>
      <c r="AF312" s="42"/>
      <c r="AG312" s="42"/>
      <c r="AH312" s="42"/>
      <c r="AI312" s="42"/>
      <c r="AJ312" s="42"/>
    </row>
    <row r="313" spans="1:36" ht="15.75">
      <c r="A313" s="797"/>
      <c r="B313" s="339"/>
      <c r="C313" s="42"/>
      <c r="D313" s="282"/>
      <c r="E313" s="42"/>
      <c r="F313" s="42"/>
      <c r="G313" s="42"/>
      <c r="H313" s="42"/>
      <c r="I313" s="42"/>
      <c r="J313" s="42"/>
      <c r="K313" s="42"/>
      <c r="L313" s="42"/>
      <c r="M313" s="42"/>
      <c r="N313" s="282"/>
      <c r="O313" s="42"/>
      <c r="P313" s="42"/>
      <c r="Q313" s="42"/>
      <c r="R313" s="42"/>
      <c r="S313" s="42"/>
      <c r="T313" s="42"/>
      <c r="U313" s="42"/>
      <c r="V313" s="42"/>
      <c r="W313" s="42"/>
      <c r="X313" s="42"/>
      <c r="Y313" s="42"/>
      <c r="Z313" s="42"/>
      <c r="AA313" s="42"/>
      <c r="AB313" s="42"/>
      <c r="AC313" s="42"/>
      <c r="AD313" s="42"/>
      <c r="AE313" s="42"/>
      <c r="AF313" s="42"/>
      <c r="AG313" s="42"/>
      <c r="AH313" s="42"/>
      <c r="AI313" s="42"/>
      <c r="AJ313" s="42"/>
    </row>
    <row r="314" spans="1:36" ht="15.75">
      <c r="A314" s="797"/>
      <c r="B314" s="339"/>
      <c r="C314" s="42"/>
      <c r="D314" s="282"/>
      <c r="E314" s="42"/>
      <c r="F314" s="42"/>
      <c r="G314" s="42"/>
      <c r="H314" s="42"/>
      <c r="I314" s="42"/>
      <c r="J314" s="42"/>
      <c r="K314" s="42"/>
      <c r="L314" s="42"/>
      <c r="M314" s="42"/>
      <c r="N314" s="282"/>
      <c r="O314" s="42"/>
      <c r="P314" s="42"/>
      <c r="Q314" s="42"/>
      <c r="R314" s="42"/>
      <c r="S314" s="42"/>
      <c r="T314" s="42"/>
      <c r="U314" s="42"/>
      <c r="V314" s="42"/>
      <c r="W314" s="42"/>
      <c r="X314" s="42"/>
      <c r="Y314" s="42"/>
      <c r="Z314" s="42"/>
      <c r="AA314" s="42"/>
      <c r="AB314" s="42"/>
      <c r="AC314" s="42"/>
      <c r="AD314" s="42"/>
      <c r="AE314" s="42"/>
      <c r="AF314" s="42"/>
      <c r="AG314" s="42"/>
      <c r="AH314" s="42"/>
      <c r="AI314" s="42"/>
      <c r="AJ314" s="42"/>
    </row>
    <row r="315" spans="1:36" ht="15.75">
      <c r="A315" s="797"/>
      <c r="B315" s="339"/>
      <c r="C315" s="42"/>
      <c r="D315" s="282"/>
      <c r="E315" s="42"/>
      <c r="F315" s="42"/>
      <c r="G315" s="42"/>
      <c r="H315" s="42"/>
      <c r="I315" s="42"/>
      <c r="J315" s="42"/>
      <c r="K315" s="42"/>
      <c r="L315" s="42"/>
      <c r="M315" s="42"/>
      <c r="N315" s="282"/>
      <c r="O315" s="42"/>
      <c r="P315" s="42"/>
      <c r="Q315" s="42"/>
      <c r="R315" s="42"/>
      <c r="S315" s="42"/>
      <c r="T315" s="42"/>
      <c r="U315" s="42"/>
      <c r="V315" s="42"/>
      <c r="W315" s="42"/>
      <c r="X315" s="42"/>
      <c r="Y315" s="42"/>
      <c r="Z315" s="42"/>
      <c r="AA315" s="42"/>
      <c r="AB315" s="42"/>
      <c r="AC315" s="42"/>
      <c r="AD315" s="42"/>
      <c r="AE315" s="42"/>
      <c r="AF315" s="42"/>
      <c r="AG315" s="42"/>
      <c r="AH315" s="42"/>
      <c r="AI315" s="42"/>
      <c r="AJ315" s="42"/>
    </row>
    <row r="316" spans="1:36" ht="15.75">
      <c r="A316" s="797"/>
      <c r="B316" s="339"/>
      <c r="C316" s="42"/>
      <c r="D316" s="282"/>
      <c r="E316" s="42"/>
      <c r="F316" s="42"/>
      <c r="G316" s="42"/>
      <c r="H316" s="42"/>
      <c r="I316" s="42"/>
      <c r="J316" s="42"/>
      <c r="K316" s="42"/>
      <c r="L316" s="42"/>
      <c r="M316" s="42"/>
      <c r="N316" s="282"/>
      <c r="O316" s="42"/>
      <c r="P316" s="42"/>
      <c r="Q316" s="42"/>
      <c r="R316" s="42"/>
      <c r="S316" s="42"/>
      <c r="T316" s="42"/>
      <c r="U316" s="42"/>
      <c r="V316" s="42"/>
      <c r="W316" s="42"/>
      <c r="X316" s="42"/>
      <c r="Y316" s="42"/>
      <c r="Z316" s="42"/>
      <c r="AA316" s="42"/>
      <c r="AB316" s="42"/>
      <c r="AC316" s="42"/>
      <c r="AD316" s="42"/>
      <c r="AE316" s="42"/>
      <c r="AF316" s="42"/>
      <c r="AG316" s="42"/>
      <c r="AH316" s="42"/>
      <c r="AI316" s="42"/>
      <c r="AJ316" s="42"/>
    </row>
    <row r="317" spans="1:36" ht="15.75">
      <c r="A317" s="797"/>
      <c r="B317" s="339"/>
      <c r="C317" s="42"/>
      <c r="D317" s="282"/>
      <c r="E317" s="42"/>
      <c r="F317" s="42"/>
      <c r="G317" s="42"/>
      <c r="H317" s="42"/>
      <c r="I317" s="42"/>
      <c r="J317" s="42"/>
      <c r="K317" s="42"/>
      <c r="L317" s="42"/>
      <c r="M317" s="42"/>
      <c r="N317" s="282"/>
      <c r="O317" s="42"/>
      <c r="P317" s="42"/>
      <c r="Q317" s="42"/>
      <c r="R317" s="42"/>
      <c r="S317" s="42"/>
      <c r="T317" s="42"/>
      <c r="U317" s="42"/>
      <c r="V317" s="42"/>
      <c r="W317" s="42"/>
      <c r="X317" s="42"/>
      <c r="Y317" s="42"/>
      <c r="Z317" s="42"/>
      <c r="AA317" s="42"/>
      <c r="AB317" s="42"/>
      <c r="AC317" s="42"/>
      <c r="AD317" s="42"/>
      <c r="AE317" s="42"/>
      <c r="AF317" s="42"/>
      <c r="AG317" s="42"/>
      <c r="AH317" s="42"/>
      <c r="AI317" s="42"/>
      <c r="AJ317" s="42"/>
    </row>
    <row r="318" spans="1:36" ht="15.75">
      <c r="A318" s="797"/>
      <c r="B318" s="339"/>
      <c r="C318" s="42"/>
      <c r="D318" s="282"/>
      <c r="E318" s="42"/>
      <c r="F318" s="42"/>
      <c r="G318" s="42"/>
      <c r="H318" s="42"/>
      <c r="I318" s="42"/>
      <c r="J318" s="42"/>
      <c r="K318" s="42"/>
      <c r="L318" s="42"/>
      <c r="M318" s="42"/>
      <c r="N318" s="282"/>
      <c r="O318" s="42"/>
      <c r="P318" s="42"/>
      <c r="Q318" s="42"/>
      <c r="R318" s="42"/>
      <c r="S318" s="42"/>
      <c r="T318" s="42"/>
      <c r="U318" s="42"/>
      <c r="V318" s="42"/>
      <c r="W318" s="42"/>
      <c r="X318" s="42"/>
      <c r="Y318" s="42"/>
      <c r="Z318" s="42"/>
      <c r="AA318" s="42"/>
      <c r="AB318" s="42"/>
      <c r="AC318" s="42"/>
      <c r="AD318" s="42"/>
      <c r="AE318" s="42"/>
      <c r="AF318" s="42"/>
      <c r="AG318" s="42"/>
      <c r="AH318" s="42"/>
      <c r="AI318" s="42"/>
      <c r="AJ318" s="42"/>
    </row>
    <row r="319" spans="1:36" ht="15.75">
      <c r="A319" s="797"/>
      <c r="B319" s="339"/>
      <c r="C319" s="42"/>
      <c r="D319" s="282"/>
      <c r="E319" s="42"/>
      <c r="F319" s="42"/>
      <c r="G319" s="42"/>
      <c r="H319" s="42"/>
      <c r="I319" s="42"/>
      <c r="J319" s="42"/>
      <c r="K319" s="42"/>
      <c r="L319" s="42"/>
      <c r="M319" s="42"/>
      <c r="N319" s="282"/>
      <c r="O319" s="42"/>
      <c r="P319" s="42"/>
      <c r="Q319" s="42"/>
      <c r="R319" s="42"/>
      <c r="S319" s="42"/>
      <c r="T319" s="42"/>
      <c r="U319" s="42"/>
      <c r="V319" s="42"/>
      <c r="W319" s="42"/>
      <c r="X319" s="42"/>
      <c r="Y319" s="42"/>
      <c r="Z319" s="42"/>
      <c r="AA319" s="42"/>
      <c r="AB319" s="42"/>
      <c r="AC319" s="42"/>
      <c r="AD319" s="42"/>
      <c r="AE319" s="42"/>
      <c r="AF319" s="42"/>
      <c r="AG319" s="42"/>
      <c r="AH319" s="42"/>
      <c r="AI319" s="42"/>
      <c r="AJ319" s="42"/>
    </row>
    <row r="320" spans="1:36" ht="15.75">
      <c r="A320" s="797"/>
      <c r="B320" s="339"/>
      <c r="C320" s="42"/>
      <c r="D320" s="282"/>
      <c r="E320" s="42"/>
      <c r="F320" s="42"/>
      <c r="G320" s="42"/>
      <c r="H320" s="42"/>
      <c r="I320" s="42"/>
      <c r="J320" s="42"/>
      <c r="K320" s="42"/>
      <c r="L320" s="42"/>
      <c r="M320" s="42"/>
      <c r="N320" s="282"/>
      <c r="O320" s="42"/>
      <c r="P320" s="42"/>
      <c r="Q320" s="42"/>
      <c r="R320" s="42"/>
      <c r="S320" s="42"/>
      <c r="T320" s="42"/>
      <c r="U320" s="42"/>
      <c r="V320" s="42"/>
      <c r="W320" s="42"/>
      <c r="X320" s="42"/>
      <c r="Y320" s="42"/>
      <c r="Z320" s="42"/>
      <c r="AA320" s="42"/>
      <c r="AB320" s="42"/>
      <c r="AC320" s="42"/>
      <c r="AD320" s="42"/>
      <c r="AE320" s="42"/>
      <c r="AF320" s="42"/>
      <c r="AG320" s="42"/>
      <c r="AH320" s="42"/>
      <c r="AI320" s="42"/>
      <c r="AJ320" s="42"/>
    </row>
    <row r="321" spans="1:36" ht="15.75">
      <c r="A321" s="797"/>
      <c r="B321" s="339"/>
      <c r="C321" s="42"/>
      <c r="D321" s="282"/>
      <c r="E321" s="42"/>
      <c r="F321" s="42"/>
      <c r="G321" s="42"/>
      <c r="H321" s="42"/>
      <c r="I321" s="42"/>
      <c r="J321" s="42"/>
      <c r="K321" s="42"/>
      <c r="L321" s="42"/>
      <c r="M321" s="42"/>
      <c r="N321" s="282"/>
      <c r="O321" s="42"/>
      <c r="P321" s="42"/>
      <c r="Q321" s="42"/>
      <c r="R321" s="42"/>
      <c r="S321" s="42"/>
      <c r="T321" s="42"/>
      <c r="U321" s="42"/>
      <c r="V321" s="42"/>
      <c r="W321" s="42"/>
      <c r="X321" s="42"/>
      <c r="Y321" s="42"/>
      <c r="Z321" s="42"/>
      <c r="AA321" s="42"/>
      <c r="AB321" s="42"/>
      <c r="AC321" s="42"/>
      <c r="AD321" s="42"/>
      <c r="AE321" s="42"/>
      <c r="AF321" s="42"/>
      <c r="AG321" s="42"/>
      <c r="AH321" s="42"/>
      <c r="AI321" s="42"/>
      <c r="AJ321" s="42"/>
    </row>
    <row r="322" spans="1:36" ht="15.75">
      <c r="A322" s="797"/>
      <c r="B322" s="339"/>
      <c r="C322" s="42"/>
      <c r="D322" s="282"/>
      <c r="E322" s="42"/>
      <c r="F322" s="42"/>
      <c r="G322" s="42"/>
      <c r="H322" s="42"/>
      <c r="I322" s="42"/>
      <c r="J322" s="42"/>
      <c r="K322" s="42"/>
      <c r="L322" s="42"/>
      <c r="M322" s="42"/>
      <c r="N322" s="282"/>
      <c r="O322" s="42"/>
      <c r="P322" s="42"/>
      <c r="Q322" s="42"/>
      <c r="R322" s="42"/>
      <c r="S322" s="42"/>
      <c r="T322" s="42"/>
      <c r="U322" s="42"/>
      <c r="V322" s="42"/>
      <c r="W322" s="42"/>
      <c r="X322" s="42"/>
      <c r="Y322" s="42"/>
      <c r="Z322" s="42"/>
      <c r="AA322" s="42"/>
      <c r="AB322" s="42"/>
      <c r="AC322" s="42"/>
      <c r="AD322" s="42"/>
      <c r="AE322" s="42"/>
      <c r="AF322" s="42"/>
      <c r="AG322" s="42"/>
      <c r="AH322" s="42"/>
      <c r="AI322" s="42"/>
      <c r="AJ322" s="42"/>
    </row>
    <row r="323" spans="1:36" ht="15.75">
      <c r="A323" s="797"/>
      <c r="B323" s="339"/>
      <c r="C323" s="42"/>
      <c r="D323" s="282"/>
      <c r="E323" s="42"/>
      <c r="F323" s="42"/>
      <c r="G323" s="42"/>
      <c r="H323" s="42"/>
      <c r="I323" s="42"/>
      <c r="J323" s="42"/>
      <c r="K323" s="42"/>
      <c r="L323" s="42"/>
      <c r="M323" s="42"/>
      <c r="N323" s="282"/>
      <c r="O323" s="42"/>
      <c r="P323" s="42"/>
      <c r="Q323" s="42"/>
      <c r="R323" s="42"/>
      <c r="S323" s="42"/>
      <c r="T323" s="42"/>
      <c r="U323" s="42"/>
      <c r="V323" s="42"/>
      <c r="W323" s="42"/>
      <c r="X323" s="42"/>
      <c r="Y323" s="42"/>
      <c r="Z323" s="42"/>
      <c r="AA323" s="42"/>
      <c r="AB323" s="42"/>
      <c r="AC323" s="42"/>
      <c r="AD323" s="42"/>
      <c r="AE323" s="42"/>
      <c r="AF323" s="42"/>
      <c r="AG323" s="42"/>
      <c r="AH323" s="42"/>
      <c r="AI323" s="42"/>
      <c r="AJ323" s="42"/>
    </row>
    <row r="324" spans="1:36" ht="15.75">
      <c r="A324" s="797"/>
      <c r="B324" s="339"/>
      <c r="C324" s="42"/>
      <c r="D324" s="282"/>
      <c r="E324" s="42"/>
      <c r="F324" s="42"/>
      <c r="G324" s="42"/>
      <c r="H324" s="42"/>
      <c r="I324" s="42"/>
      <c r="J324" s="42"/>
      <c r="K324" s="42"/>
      <c r="L324" s="42"/>
      <c r="M324" s="42"/>
      <c r="N324" s="282"/>
      <c r="O324" s="42"/>
      <c r="P324" s="42"/>
      <c r="Q324" s="42"/>
      <c r="R324" s="42"/>
      <c r="S324" s="42"/>
      <c r="T324" s="42"/>
      <c r="U324" s="42"/>
      <c r="V324" s="42"/>
      <c r="W324" s="42"/>
      <c r="X324" s="42"/>
      <c r="Y324" s="42"/>
      <c r="Z324" s="42"/>
      <c r="AA324" s="42"/>
      <c r="AB324" s="42"/>
      <c r="AC324" s="42"/>
      <c r="AD324" s="42"/>
      <c r="AE324" s="42"/>
      <c r="AF324" s="42"/>
      <c r="AG324" s="42"/>
      <c r="AH324" s="42"/>
      <c r="AI324" s="42"/>
      <c r="AJ324" s="42"/>
    </row>
    <row r="325" spans="1:36" ht="15.75">
      <c r="A325" s="797"/>
      <c r="B325" s="339"/>
      <c r="C325" s="42"/>
      <c r="D325" s="282"/>
      <c r="E325" s="42"/>
      <c r="F325" s="42"/>
      <c r="G325" s="42"/>
      <c r="H325" s="42"/>
      <c r="I325" s="42"/>
      <c r="J325" s="42"/>
      <c r="K325" s="42"/>
      <c r="L325" s="42"/>
      <c r="M325" s="42"/>
      <c r="N325" s="282"/>
      <c r="O325" s="42"/>
      <c r="P325" s="42"/>
      <c r="Q325" s="42"/>
      <c r="R325" s="42"/>
      <c r="S325" s="42"/>
      <c r="T325" s="42"/>
      <c r="U325" s="42"/>
      <c r="V325" s="42"/>
      <c r="W325" s="42"/>
      <c r="X325" s="42"/>
      <c r="Y325" s="42"/>
      <c r="Z325" s="42"/>
      <c r="AA325" s="42"/>
      <c r="AB325" s="42"/>
      <c r="AC325" s="42"/>
      <c r="AD325" s="42"/>
      <c r="AE325" s="42"/>
      <c r="AF325" s="42"/>
      <c r="AG325" s="42"/>
      <c r="AH325" s="42"/>
      <c r="AI325" s="42"/>
      <c r="AJ325" s="42"/>
    </row>
    <row r="326" spans="1:36" ht="15.75">
      <c r="A326" s="797"/>
      <c r="B326" s="339"/>
      <c r="C326" s="42"/>
      <c r="D326" s="282"/>
      <c r="E326" s="42"/>
      <c r="F326" s="42"/>
      <c r="G326" s="42"/>
      <c r="H326" s="42"/>
      <c r="I326" s="42"/>
      <c r="J326" s="42"/>
      <c r="K326" s="42"/>
      <c r="L326" s="42"/>
      <c r="M326" s="42"/>
      <c r="N326" s="282"/>
      <c r="O326" s="42"/>
      <c r="P326" s="42"/>
      <c r="Q326" s="42"/>
      <c r="R326" s="42"/>
      <c r="S326" s="42"/>
      <c r="T326" s="42"/>
      <c r="U326" s="42"/>
      <c r="V326" s="42"/>
      <c r="W326" s="42"/>
      <c r="X326" s="42"/>
      <c r="Y326" s="42"/>
      <c r="Z326" s="42"/>
      <c r="AA326" s="42"/>
      <c r="AB326" s="42"/>
      <c r="AC326" s="42"/>
      <c r="AD326" s="42"/>
      <c r="AE326" s="42"/>
      <c r="AF326" s="42"/>
      <c r="AG326" s="42"/>
      <c r="AH326" s="42"/>
      <c r="AI326" s="42"/>
      <c r="AJ326" s="42"/>
    </row>
    <row r="327" spans="1:36" ht="15.75">
      <c r="A327" s="797"/>
      <c r="B327" s="339"/>
      <c r="C327" s="42"/>
      <c r="D327" s="282"/>
      <c r="E327" s="42"/>
      <c r="F327" s="42"/>
      <c r="G327" s="42"/>
      <c r="H327" s="42"/>
      <c r="I327" s="42"/>
      <c r="J327" s="42"/>
      <c r="K327" s="42"/>
      <c r="L327" s="42"/>
      <c r="M327" s="42"/>
      <c r="N327" s="282"/>
      <c r="O327" s="42"/>
      <c r="P327" s="42"/>
      <c r="Q327" s="42"/>
      <c r="R327" s="42"/>
      <c r="S327" s="42"/>
      <c r="T327" s="42"/>
      <c r="U327" s="42"/>
      <c r="V327" s="42"/>
      <c r="W327" s="42"/>
      <c r="X327" s="42"/>
      <c r="Y327" s="42"/>
      <c r="Z327" s="42"/>
      <c r="AA327" s="42"/>
      <c r="AB327" s="42"/>
      <c r="AC327" s="42"/>
      <c r="AD327" s="42"/>
      <c r="AE327" s="42"/>
      <c r="AF327" s="42"/>
      <c r="AG327" s="42"/>
      <c r="AH327" s="42"/>
      <c r="AI327" s="42"/>
      <c r="AJ327" s="42"/>
    </row>
    <row r="328" spans="1:36" ht="15.75">
      <c r="A328" s="797"/>
      <c r="B328" s="339"/>
      <c r="C328" s="42"/>
      <c r="D328" s="282"/>
      <c r="E328" s="42"/>
      <c r="F328" s="42"/>
      <c r="G328" s="42"/>
      <c r="H328" s="42"/>
      <c r="I328" s="42"/>
      <c r="J328" s="42"/>
      <c r="K328" s="42"/>
      <c r="L328" s="42"/>
      <c r="M328" s="42"/>
      <c r="N328" s="282"/>
      <c r="O328" s="42"/>
      <c r="P328" s="42"/>
      <c r="Q328" s="42"/>
      <c r="R328" s="42"/>
      <c r="S328" s="42"/>
      <c r="T328" s="42"/>
      <c r="U328" s="42"/>
      <c r="V328" s="42"/>
      <c r="W328" s="42"/>
      <c r="X328" s="42"/>
      <c r="Y328" s="42"/>
      <c r="Z328" s="42"/>
      <c r="AA328" s="42"/>
      <c r="AB328" s="42"/>
      <c r="AC328" s="42"/>
      <c r="AD328" s="42"/>
      <c r="AE328" s="42"/>
      <c r="AF328" s="42"/>
      <c r="AG328" s="42"/>
      <c r="AH328" s="42"/>
      <c r="AI328" s="42"/>
      <c r="AJ328" s="42"/>
    </row>
    <row r="329" spans="1:36" ht="15.75">
      <c r="A329" s="797"/>
      <c r="B329" s="339"/>
      <c r="C329" s="42"/>
      <c r="D329" s="282"/>
      <c r="E329" s="42"/>
      <c r="F329" s="42"/>
      <c r="G329" s="42"/>
      <c r="H329" s="42"/>
      <c r="I329" s="42"/>
      <c r="J329" s="42"/>
      <c r="K329" s="42"/>
      <c r="L329" s="42"/>
      <c r="M329" s="42"/>
      <c r="N329" s="282"/>
      <c r="O329" s="42"/>
      <c r="P329" s="42"/>
      <c r="Q329" s="42"/>
      <c r="R329" s="42"/>
      <c r="S329" s="42"/>
      <c r="T329" s="42"/>
      <c r="U329" s="42"/>
      <c r="V329" s="42"/>
      <c r="W329" s="42"/>
      <c r="X329" s="42"/>
      <c r="Y329" s="42"/>
      <c r="Z329" s="42"/>
      <c r="AA329" s="42"/>
      <c r="AB329" s="42"/>
      <c r="AC329" s="42"/>
      <c r="AD329" s="42"/>
      <c r="AE329" s="42"/>
      <c r="AF329" s="42"/>
      <c r="AG329" s="42"/>
      <c r="AH329" s="42"/>
      <c r="AI329" s="42"/>
      <c r="AJ329" s="42"/>
    </row>
    <row r="330" spans="1:36" ht="15.75">
      <c r="A330" s="797"/>
      <c r="B330" s="339"/>
      <c r="C330" s="42"/>
      <c r="D330" s="282"/>
      <c r="E330" s="42"/>
      <c r="F330" s="42"/>
      <c r="G330" s="42"/>
      <c r="H330" s="42"/>
      <c r="I330" s="42"/>
      <c r="J330" s="42"/>
      <c r="K330" s="42"/>
      <c r="L330" s="42"/>
      <c r="M330" s="42"/>
      <c r="N330" s="282"/>
      <c r="O330" s="42"/>
      <c r="P330" s="42"/>
      <c r="Q330" s="42"/>
      <c r="R330" s="42"/>
      <c r="S330" s="42"/>
      <c r="T330" s="42"/>
      <c r="U330" s="42"/>
      <c r="V330" s="42"/>
      <c r="W330" s="42"/>
      <c r="X330" s="42"/>
      <c r="Y330" s="42"/>
      <c r="Z330" s="42"/>
      <c r="AA330" s="42"/>
      <c r="AB330" s="42"/>
      <c r="AC330" s="42"/>
      <c r="AD330" s="42"/>
      <c r="AE330" s="42"/>
      <c r="AF330" s="42"/>
      <c r="AG330" s="42"/>
      <c r="AH330" s="42"/>
      <c r="AI330" s="42"/>
      <c r="AJ330" s="42"/>
    </row>
    <row r="331" spans="1:36" ht="15.75">
      <c r="A331" s="797"/>
      <c r="B331" s="339"/>
      <c r="C331" s="42"/>
      <c r="D331" s="282"/>
      <c r="E331" s="42"/>
      <c r="F331" s="42"/>
      <c r="G331" s="42"/>
      <c r="H331" s="42"/>
      <c r="I331" s="42"/>
      <c r="J331" s="42"/>
      <c r="K331" s="42"/>
      <c r="L331" s="42"/>
      <c r="M331" s="42"/>
      <c r="N331" s="282"/>
      <c r="O331" s="42"/>
      <c r="P331" s="42"/>
      <c r="Q331" s="42"/>
      <c r="R331" s="42"/>
      <c r="S331" s="42"/>
      <c r="T331" s="42"/>
      <c r="U331" s="42"/>
      <c r="V331" s="42"/>
      <c r="W331" s="42"/>
      <c r="X331" s="42"/>
      <c r="Y331" s="42"/>
      <c r="Z331" s="42"/>
      <c r="AA331" s="42"/>
      <c r="AB331" s="42"/>
      <c r="AC331" s="42"/>
      <c r="AD331" s="42"/>
      <c r="AE331" s="42"/>
      <c r="AF331" s="42"/>
      <c r="AG331" s="42"/>
      <c r="AH331" s="42"/>
      <c r="AI331" s="42"/>
      <c r="AJ331" s="42"/>
    </row>
    <row r="332" spans="1:36" ht="15.75">
      <c r="A332" s="797"/>
      <c r="B332" s="339"/>
      <c r="C332" s="42"/>
      <c r="D332" s="282"/>
      <c r="E332" s="42"/>
      <c r="F332" s="42"/>
      <c r="G332" s="42"/>
      <c r="H332" s="42"/>
      <c r="I332" s="42"/>
      <c r="J332" s="42"/>
      <c r="K332" s="42"/>
      <c r="L332" s="42"/>
      <c r="M332" s="42"/>
      <c r="N332" s="282"/>
      <c r="O332" s="42"/>
      <c r="P332" s="42"/>
      <c r="Q332" s="42"/>
      <c r="R332" s="42"/>
      <c r="S332" s="42"/>
      <c r="T332" s="42"/>
      <c r="U332" s="42"/>
      <c r="V332" s="42"/>
      <c r="W332" s="42"/>
      <c r="X332" s="42"/>
      <c r="Y332" s="42"/>
      <c r="Z332" s="42"/>
      <c r="AA332" s="42"/>
      <c r="AB332" s="42"/>
      <c r="AC332" s="42"/>
      <c r="AD332" s="42"/>
      <c r="AE332" s="42"/>
      <c r="AF332" s="42"/>
      <c r="AG332" s="42"/>
      <c r="AH332" s="42"/>
      <c r="AI332" s="42"/>
      <c r="AJ332" s="42"/>
    </row>
    <row r="333" spans="1:36" ht="15.75">
      <c r="A333" s="797"/>
      <c r="B333" s="339"/>
      <c r="C333" s="42"/>
      <c r="D333" s="282"/>
      <c r="E333" s="42"/>
      <c r="F333" s="42"/>
      <c r="G333" s="42"/>
      <c r="H333" s="42"/>
      <c r="I333" s="42"/>
      <c r="J333" s="42"/>
      <c r="K333" s="42"/>
      <c r="L333" s="42"/>
      <c r="M333" s="42"/>
      <c r="N333" s="282"/>
      <c r="O333" s="42"/>
      <c r="P333" s="42"/>
      <c r="Q333" s="42"/>
      <c r="R333" s="42"/>
      <c r="S333" s="42"/>
      <c r="T333" s="42"/>
      <c r="U333" s="42"/>
      <c r="V333" s="42"/>
      <c r="W333" s="42"/>
      <c r="X333" s="42"/>
      <c r="Y333" s="42"/>
      <c r="Z333" s="42"/>
      <c r="AA333" s="42"/>
      <c r="AB333" s="42"/>
      <c r="AC333" s="42"/>
      <c r="AD333" s="42"/>
      <c r="AE333" s="42"/>
      <c r="AF333" s="42"/>
      <c r="AG333" s="42"/>
      <c r="AH333" s="42"/>
      <c r="AI333" s="42"/>
      <c r="AJ333" s="42"/>
    </row>
    <row r="334" spans="1:36" ht="15.75">
      <c r="A334" s="797"/>
      <c r="B334" s="339"/>
      <c r="C334" s="42"/>
      <c r="D334" s="282"/>
      <c r="E334" s="42"/>
      <c r="F334" s="42"/>
      <c r="G334" s="42"/>
      <c r="H334" s="42"/>
      <c r="I334" s="42"/>
      <c r="J334" s="42"/>
      <c r="K334" s="42"/>
      <c r="L334" s="42"/>
      <c r="M334" s="42"/>
      <c r="N334" s="282"/>
      <c r="O334" s="42"/>
      <c r="P334" s="42"/>
      <c r="Q334" s="42"/>
      <c r="R334" s="42"/>
      <c r="S334" s="42"/>
      <c r="T334" s="42"/>
      <c r="U334" s="42"/>
      <c r="V334" s="42"/>
      <c r="W334" s="42"/>
      <c r="X334" s="42"/>
      <c r="Y334" s="42"/>
      <c r="Z334" s="42"/>
      <c r="AA334" s="42"/>
      <c r="AB334" s="42"/>
      <c r="AC334" s="42"/>
      <c r="AD334" s="42"/>
      <c r="AE334" s="42"/>
      <c r="AF334" s="42"/>
      <c r="AG334" s="42"/>
      <c r="AH334" s="42"/>
      <c r="AI334" s="42"/>
      <c r="AJ334" s="42"/>
    </row>
    <row r="335" spans="1:36" ht="15.75">
      <c r="A335" s="797"/>
      <c r="B335" s="339"/>
      <c r="C335" s="42"/>
      <c r="D335" s="282"/>
      <c r="E335" s="42"/>
      <c r="F335" s="42"/>
      <c r="G335" s="42"/>
      <c r="H335" s="42"/>
      <c r="I335" s="42"/>
      <c r="J335" s="42"/>
      <c r="K335" s="42"/>
      <c r="L335" s="42"/>
      <c r="M335" s="42"/>
      <c r="N335" s="282"/>
      <c r="O335" s="42"/>
      <c r="P335" s="42"/>
      <c r="Q335" s="42"/>
      <c r="R335" s="42"/>
      <c r="S335" s="42"/>
      <c r="T335" s="42"/>
      <c r="U335" s="42"/>
      <c r="V335" s="42"/>
      <c r="W335" s="42"/>
      <c r="X335" s="42"/>
      <c r="Y335" s="42"/>
      <c r="Z335" s="42"/>
      <c r="AA335" s="42"/>
      <c r="AB335" s="42"/>
      <c r="AC335" s="42"/>
      <c r="AD335" s="42"/>
      <c r="AE335" s="42"/>
      <c r="AF335" s="42"/>
      <c r="AG335" s="42"/>
      <c r="AH335" s="42"/>
      <c r="AI335" s="42"/>
      <c r="AJ335" s="42"/>
    </row>
    <row r="336" spans="1:36" ht="15.75">
      <c r="A336" s="797"/>
      <c r="B336" s="339"/>
      <c r="C336" s="42"/>
      <c r="D336" s="282"/>
      <c r="E336" s="42"/>
      <c r="F336" s="42"/>
      <c r="G336" s="42"/>
      <c r="H336" s="42"/>
      <c r="I336" s="42"/>
      <c r="J336" s="42"/>
      <c r="K336" s="42"/>
      <c r="L336" s="42"/>
      <c r="M336" s="42"/>
      <c r="N336" s="282"/>
      <c r="O336" s="42"/>
      <c r="P336" s="42"/>
      <c r="Q336" s="42"/>
      <c r="R336" s="42"/>
      <c r="S336" s="42"/>
      <c r="T336" s="42"/>
      <c r="U336" s="42"/>
      <c r="V336" s="42"/>
      <c r="W336" s="42"/>
      <c r="X336" s="42"/>
      <c r="Y336" s="42"/>
      <c r="Z336" s="42"/>
      <c r="AA336" s="42"/>
      <c r="AB336" s="42"/>
      <c r="AC336" s="42"/>
      <c r="AD336" s="42"/>
      <c r="AE336" s="42"/>
      <c r="AF336" s="42"/>
      <c r="AG336" s="42"/>
      <c r="AH336" s="42"/>
      <c r="AI336" s="42"/>
      <c r="AJ336" s="42"/>
    </row>
    <row r="337" spans="1:36" ht="15.75">
      <c r="A337" s="797"/>
      <c r="B337" s="339"/>
      <c r="C337" s="42"/>
      <c r="D337" s="282"/>
      <c r="E337" s="42"/>
      <c r="F337" s="42"/>
      <c r="G337" s="42"/>
      <c r="H337" s="42"/>
      <c r="I337" s="42"/>
      <c r="J337" s="42"/>
      <c r="K337" s="42"/>
      <c r="L337" s="42"/>
      <c r="M337" s="42"/>
      <c r="N337" s="282"/>
      <c r="O337" s="42"/>
      <c r="P337" s="42"/>
      <c r="Q337" s="42"/>
      <c r="R337" s="42"/>
      <c r="S337" s="42"/>
      <c r="T337" s="42"/>
      <c r="U337" s="42"/>
      <c r="V337" s="42"/>
      <c r="W337" s="42"/>
      <c r="X337" s="42"/>
      <c r="Y337" s="42"/>
      <c r="Z337" s="42"/>
      <c r="AA337" s="42"/>
      <c r="AB337" s="42"/>
      <c r="AC337" s="42"/>
      <c r="AD337" s="42"/>
      <c r="AE337" s="42"/>
      <c r="AF337" s="42"/>
      <c r="AG337" s="42"/>
      <c r="AH337" s="42"/>
      <c r="AI337" s="42"/>
      <c r="AJ337" s="42"/>
    </row>
    <row r="338" spans="1:36" ht="15.75">
      <c r="A338" s="797"/>
      <c r="B338" s="339"/>
      <c r="C338" s="42"/>
      <c r="D338" s="282"/>
      <c r="E338" s="42"/>
      <c r="F338" s="42"/>
      <c r="G338" s="42"/>
      <c r="H338" s="42"/>
      <c r="I338" s="42"/>
      <c r="J338" s="42"/>
      <c r="K338" s="42"/>
      <c r="L338" s="42"/>
      <c r="M338" s="42"/>
      <c r="N338" s="282"/>
      <c r="O338" s="42"/>
      <c r="P338" s="42"/>
      <c r="Q338" s="42"/>
      <c r="R338" s="42"/>
      <c r="S338" s="42"/>
      <c r="T338" s="42"/>
      <c r="U338" s="42"/>
      <c r="V338" s="42"/>
      <c r="W338" s="42"/>
      <c r="X338" s="42"/>
      <c r="Y338" s="42"/>
      <c r="Z338" s="42"/>
      <c r="AA338" s="42"/>
      <c r="AB338" s="42"/>
      <c r="AC338" s="42"/>
      <c r="AD338" s="42"/>
      <c r="AE338" s="42"/>
      <c r="AF338" s="42"/>
      <c r="AG338" s="42"/>
      <c r="AH338" s="42"/>
      <c r="AI338" s="42"/>
      <c r="AJ338" s="42"/>
    </row>
    <row r="339" spans="1:36" ht="15.75">
      <c r="A339" s="797"/>
      <c r="B339" s="339"/>
      <c r="C339" s="42"/>
      <c r="D339" s="282"/>
      <c r="E339" s="42"/>
      <c r="F339" s="42"/>
      <c r="G339" s="42"/>
      <c r="H339" s="42"/>
      <c r="I339" s="42"/>
      <c r="J339" s="42"/>
      <c r="K339" s="42"/>
      <c r="L339" s="42"/>
      <c r="M339" s="42"/>
      <c r="N339" s="282"/>
      <c r="O339" s="42"/>
      <c r="P339" s="42"/>
      <c r="Q339" s="42"/>
      <c r="R339" s="42"/>
      <c r="S339" s="42"/>
      <c r="T339" s="42"/>
      <c r="U339" s="42"/>
      <c r="V339" s="42"/>
      <c r="W339" s="42"/>
      <c r="X339" s="42"/>
      <c r="Y339" s="42"/>
      <c r="Z339" s="42"/>
      <c r="AA339" s="42"/>
      <c r="AB339" s="42"/>
      <c r="AC339" s="42"/>
      <c r="AD339" s="42"/>
      <c r="AE339" s="42"/>
      <c r="AF339" s="42"/>
      <c r="AG339" s="42"/>
      <c r="AH339" s="42"/>
      <c r="AI339" s="42"/>
      <c r="AJ339" s="42"/>
    </row>
    <row r="340" spans="1:36" ht="15.75">
      <c r="A340" s="797"/>
      <c r="B340" s="339"/>
      <c r="C340" s="42"/>
      <c r="D340" s="282"/>
      <c r="E340" s="42"/>
      <c r="F340" s="42"/>
      <c r="G340" s="42"/>
      <c r="H340" s="42"/>
      <c r="I340" s="42"/>
      <c r="J340" s="42"/>
      <c r="K340" s="42"/>
      <c r="L340" s="42"/>
      <c r="M340" s="42"/>
      <c r="N340" s="282"/>
      <c r="O340" s="42"/>
      <c r="P340" s="42"/>
      <c r="Q340" s="42"/>
      <c r="R340" s="42"/>
      <c r="S340" s="42"/>
      <c r="T340" s="42"/>
      <c r="U340" s="42"/>
      <c r="V340" s="42"/>
      <c r="W340" s="42"/>
      <c r="X340" s="42"/>
      <c r="Y340" s="42"/>
      <c r="Z340" s="42"/>
      <c r="AA340" s="42"/>
      <c r="AB340" s="42"/>
      <c r="AC340" s="42"/>
      <c r="AD340" s="42"/>
      <c r="AE340" s="42"/>
      <c r="AF340" s="42"/>
      <c r="AG340" s="42"/>
      <c r="AH340" s="42"/>
      <c r="AI340" s="42"/>
      <c r="AJ340" s="42"/>
    </row>
    <row r="341" spans="1:36" ht="15.75">
      <c r="A341" s="797"/>
      <c r="B341" s="339"/>
      <c r="C341" s="42"/>
      <c r="D341" s="282"/>
      <c r="E341" s="42"/>
      <c r="F341" s="42"/>
      <c r="G341" s="42"/>
      <c r="H341" s="42"/>
      <c r="I341" s="42"/>
      <c r="J341" s="42"/>
      <c r="K341" s="42"/>
      <c r="L341" s="42"/>
      <c r="M341" s="42"/>
      <c r="N341" s="282"/>
      <c r="O341" s="42"/>
      <c r="P341" s="42"/>
      <c r="Q341" s="42"/>
      <c r="R341" s="42"/>
      <c r="S341" s="42"/>
      <c r="T341" s="42"/>
      <c r="U341" s="42"/>
      <c r="V341" s="42"/>
      <c r="W341" s="42"/>
      <c r="X341" s="42"/>
      <c r="Y341" s="42"/>
      <c r="Z341" s="42"/>
      <c r="AA341" s="42"/>
      <c r="AB341" s="42"/>
      <c r="AC341" s="42"/>
      <c r="AD341" s="42"/>
      <c r="AE341" s="42"/>
      <c r="AF341" s="42"/>
      <c r="AG341" s="42"/>
      <c r="AH341" s="42"/>
      <c r="AI341" s="42"/>
      <c r="AJ341" s="42"/>
    </row>
    <row r="342" spans="1:36" ht="15.75">
      <c r="A342" s="797"/>
      <c r="B342" s="339"/>
      <c r="C342" s="42"/>
      <c r="D342" s="282"/>
      <c r="E342" s="42"/>
      <c r="F342" s="42"/>
      <c r="G342" s="42"/>
      <c r="H342" s="42"/>
      <c r="I342" s="42"/>
      <c r="J342" s="42"/>
      <c r="K342" s="42"/>
      <c r="L342" s="42"/>
      <c r="M342" s="42"/>
      <c r="N342" s="282"/>
      <c r="O342" s="42"/>
      <c r="P342" s="42"/>
      <c r="Q342" s="42"/>
      <c r="R342" s="42"/>
      <c r="S342" s="42"/>
      <c r="T342" s="42"/>
      <c r="U342" s="42"/>
      <c r="V342" s="42"/>
      <c r="W342" s="42"/>
      <c r="X342" s="42"/>
      <c r="Y342" s="42"/>
      <c r="Z342" s="42"/>
      <c r="AA342" s="42"/>
      <c r="AB342" s="42"/>
      <c r="AC342" s="42"/>
      <c r="AD342" s="42"/>
      <c r="AE342" s="42"/>
      <c r="AF342" s="42"/>
      <c r="AG342" s="42"/>
      <c r="AH342" s="42"/>
      <c r="AI342" s="42"/>
      <c r="AJ342" s="42"/>
    </row>
    <row r="343" spans="1:36" ht="15.75">
      <c r="A343" s="797"/>
      <c r="B343" s="339"/>
      <c r="C343" s="42"/>
      <c r="D343" s="282"/>
      <c r="E343" s="42"/>
      <c r="F343" s="42"/>
      <c r="G343" s="42"/>
      <c r="H343" s="42"/>
      <c r="I343" s="42"/>
      <c r="J343" s="42"/>
      <c r="K343" s="42"/>
      <c r="L343" s="42"/>
      <c r="M343" s="42"/>
      <c r="N343" s="282"/>
      <c r="O343" s="42"/>
      <c r="P343" s="42"/>
      <c r="Q343" s="42"/>
      <c r="R343" s="42"/>
      <c r="S343" s="42"/>
      <c r="T343" s="42"/>
      <c r="U343" s="42"/>
      <c r="V343" s="42"/>
      <c r="W343" s="42"/>
      <c r="X343" s="42"/>
      <c r="Y343" s="42"/>
      <c r="Z343" s="42"/>
      <c r="AA343" s="42"/>
      <c r="AB343" s="42"/>
      <c r="AC343" s="42"/>
      <c r="AD343" s="42"/>
      <c r="AE343" s="42"/>
      <c r="AF343" s="42"/>
      <c r="AG343" s="42"/>
      <c r="AH343" s="42"/>
      <c r="AI343" s="42"/>
      <c r="AJ343" s="42"/>
    </row>
    <row r="344" spans="1:36" ht="15.75">
      <c r="A344" s="797"/>
      <c r="B344" s="339"/>
      <c r="C344" s="42"/>
      <c r="D344" s="282"/>
      <c r="E344" s="42"/>
      <c r="F344" s="42"/>
      <c r="G344" s="42"/>
      <c r="H344" s="42"/>
      <c r="I344" s="42"/>
      <c r="J344" s="42"/>
      <c r="K344" s="42"/>
      <c r="L344" s="42"/>
      <c r="M344" s="42"/>
      <c r="N344" s="282"/>
      <c r="O344" s="42"/>
      <c r="P344" s="42"/>
      <c r="Q344" s="42"/>
      <c r="R344" s="42"/>
      <c r="S344" s="42"/>
      <c r="T344" s="42"/>
      <c r="U344" s="42"/>
      <c r="V344" s="42"/>
      <c r="W344" s="42"/>
      <c r="X344" s="42"/>
      <c r="Y344" s="42"/>
      <c r="Z344" s="42"/>
      <c r="AA344" s="42"/>
      <c r="AB344" s="42"/>
      <c r="AC344" s="42"/>
      <c r="AD344" s="42"/>
      <c r="AE344" s="42"/>
      <c r="AF344" s="42"/>
      <c r="AG344" s="42"/>
      <c r="AH344" s="42"/>
      <c r="AI344" s="42"/>
      <c r="AJ344" s="42"/>
    </row>
    <row r="345" spans="1:36" ht="15.75">
      <c r="A345" s="797"/>
      <c r="B345" s="339"/>
      <c r="C345" s="42"/>
      <c r="D345" s="282"/>
      <c r="E345" s="42"/>
      <c r="F345" s="42"/>
      <c r="G345" s="42"/>
      <c r="H345" s="42"/>
      <c r="I345" s="42"/>
      <c r="J345" s="42"/>
      <c r="K345" s="42"/>
      <c r="L345" s="42"/>
      <c r="M345" s="42"/>
      <c r="N345" s="282"/>
      <c r="O345" s="42"/>
      <c r="P345" s="42"/>
      <c r="Q345" s="42"/>
      <c r="R345" s="42"/>
      <c r="S345" s="42"/>
      <c r="T345" s="42"/>
      <c r="U345" s="42"/>
      <c r="V345" s="42"/>
      <c r="W345" s="42"/>
      <c r="X345" s="42"/>
      <c r="Y345" s="42"/>
      <c r="Z345" s="42"/>
      <c r="AA345" s="42"/>
      <c r="AB345" s="42"/>
      <c r="AC345" s="42"/>
      <c r="AD345" s="42"/>
      <c r="AE345" s="42"/>
      <c r="AF345" s="42"/>
      <c r="AG345" s="42"/>
      <c r="AH345" s="42"/>
      <c r="AI345" s="42"/>
      <c r="AJ345" s="42"/>
    </row>
    <row r="346" spans="1:36" ht="15.75">
      <c r="A346" s="797"/>
      <c r="B346" s="339"/>
      <c r="C346" s="42"/>
      <c r="D346" s="282"/>
      <c r="E346" s="42"/>
      <c r="F346" s="42"/>
      <c r="G346" s="42"/>
      <c r="H346" s="42"/>
      <c r="I346" s="42"/>
      <c r="J346" s="42"/>
      <c r="K346" s="42"/>
      <c r="L346" s="42"/>
      <c r="M346" s="42"/>
      <c r="N346" s="282"/>
      <c r="O346" s="42"/>
      <c r="P346" s="42"/>
      <c r="Q346" s="42"/>
      <c r="R346" s="42"/>
      <c r="S346" s="42"/>
      <c r="T346" s="42"/>
      <c r="U346" s="42"/>
      <c r="V346" s="42"/>
      <c r="W346" s="42"/>
      <c r="X346" s="42"/>
      <c r="Y346" s="42"/>
      <c r="Z346" s="42"/>
      <c r="AA346" s="42"/>
      <c r="AB346" s="42"/>
      <c r="AC346" s="42"/>
      <c r="AD346" s="42"/>
      <c r="AE346" s="42"/>
      <c r="AF346" s="42"/>
      <c r="AG346" s="42"/>
      <c r="AH346" s="42"/>
      <c r="AI346" s="42"/>
      <c r="AJ346" s="42"/>
    </row>
    <row r="347" spans="1:36" ht="15.75">
      <c r="A347" s="797"/>
      <c r="B347" s="339"/>
      <c r="C347" s="42"/>
      <c r="D347" s="282"/>
      <c r="E347" s="42"/>
      <c r="F347" s="42"/>
      <c r="G347" s="42"/>
      <c r="H347" s="42"/>
      <c r="I347" s="42"/>
      <c r="J347" s="42"/>
      <c r="K347" s="42"/>
      <c r="L347" s="42"/>
      <c r="M347" s="42"/>
      <c r="N347" s="282"/>
      <c r="O347" s="42"/>
      <c r="P347" s="42"/>
      <c r="Q347" s="42"/>
      <c r="R347" s="42"/>
      <c r="S347" s="42"/>
      <c r="T347" s="42"/>
      <c r="U347" s="42"/>
      <c r="V347" s="42"/>
      <c r="W347" s="42"/>
      <c r="X347" s="42"/>
      <c r="Y347" s="42"/>
      <c r="Z347" s="42"/>
      <c r="AA347" s="42"/>
      <c r="AB347" s="42"/>
      <c r="AC347" s="42"/>
      <c r="AD347" s="42"/>
      <c r="AE347" s="42"/>
      <c r="AF347" s="42"/>
      <c r="AG347" s="42"/>
      <c r="AH347" s="42"/>
      <c r="AI347" s="42"/>
      <c r="AJ347" s="42"/>
    </row>
    <row r="348" spans="1:36" ht="15.75">
      <c r="A348" s="797"/>
      <c r="B348" s="339"/>
      <c r="C348" s="42"/>
      <c r="D348" s="282"/>
      <c r="E348" s="42"/>
      <c r="F348" s="42"/>
      <c r="G348" s="42"/>
      <c r="H348" s="42"/>
      <c r="I348" s="42"/>
      <c r="J348" s="42"/>
      <c r="K348" s="42"/>
      <c r="L348" s="42"/>
      <c r="M348" s="42"/>
      <c r="N348" s="282"/>
      <c r="O348" s="42"/>
      <c r="P348" s="42"/>
      <c r="Q348" s="42"/>
      <c r="R348" s="42"/>
      <c r="S348" s="42"/>
      <c r="T348" s="42"/>
      <c r="U348" s="42"/>
      <c r="V348" s="42"/>
      <c r="W348" s="42"/>
      <c r="X348" s="42"/>
      <c r="Y348" s="42"/>
      <c r="Z348" s="42"/>
      <c r="AA348" s="42"/>
      <c r="AB348" s="42"/>
      <c r="AC348" s="42"/>
      <c r="AD348" s="42"/>
      <c r="AE348" s="42"/>
      <c r="AF348" s="42"/>
      <c r="AG348" s="42"/>
      <c r="AH348" s="42"/>
      <c r="AI348" s="42"/>
      <c r="AJ348" s="42"/>
    </row>
    <row r="349" spans="1:36" ht="15.75">
      <c r="A349" s="797"/>
      <c r="B349" s="339"/>
      <c r="C349" s="42"/>
      <c r="D349" s="282"/>
      <c r="E349" s="42"/>
      <c r="F349" s="42"/>
      <c r="G349" s="42"/>
      <c r="H349" s="42"/>
      <c r="I349" s="42"/>
      <c r="J349" s="42"/>
      <c r="K349" s="42"/>
      <c r="L349" s="42"/>
      <c r="M349" s="42"/>
      <c r="N349" s="282"/>
      <c r="O349" s="42"/>
      <c r="P349" s="42"/>
      <c r="Q349" s="42"/>
      <c r="R349" s="42"/>
      <c r="S349" s="42"/>
      <c r="T349" s="42"/>
      <c r="U349" s="42"/>
      <c r="V349" s="42"/>
      <c r="W349" s="42"/>
      <c r="X349" s="42"/>
      <c r="Y349" s="42"/>
      <c r="Z349" s="42"/>
      <c r="AA349" s="42"/>
      <c r="AB349" s="42"/>
      <c r="AC349" s="42"/>
      <c r="AD349" s="42"/>
      <c r="AE349" s="42"/>
      <c r="AF349" s="42"/>
      <c r="AG349" s="42"/>
      <c r="AH349" s="42"/>
      <c r="AI349" s="42"/>
      <c r="AJ349" s="42"/>
    </row>
    <row r="350" spans="1:36" ht="15.75">
      <c r="A350" s="797"/>
      <c r="B350" s="339"/>
      <c r="C350" s="42"/>
      <c r="D350" s="282"/>
      <c r="E350" s="42"/>
      <c r="F350" s="42"/>
      <c r="G350" s="42"/>
      <c r="H350" s="42"/>
      <c r="I350" s="42"/>
      <c r="J350" s="42"/>
      <c r="K350" s="42"/>
      <c r="L350" s="42"/>
      <c r="M350" s="42"/>
      <c r="N350" s="282"/>
      <c r="O350" s="42"/>
      <c r="P350" s="42"/>
      <c r="Q350" s="42"/>
      <c r="R350" s="42"/>
      <c r="S350" s="42"/>
      <c r="T350" s="42"/>
      <c r="U350" s="42"/>
      <c r="V350" s="42"/>
      <c r="W350" s="42"/>
      <c r="X350" s="42"/>
      <c r="Y350" s="42"/>
      <c r="Z350" s="42"/>
      <c r="AA350" s="42"/>
      <c r="AB350" s="42"/>
      <c r="AC350" s="42"/>
      <c r="AD350" s="42"/>
      <c r="AE350" s="42"/>
      <c r="AF350" s="42"/>
      <c r="AG350" s="42"/>
      <c r="AH350" s="42"/>
      <c r="AI350" s="42"/>
      <c r="AJ350" s="42"/>
    </row>
    <row r="351" spans="1:36" ht="15.75">
      <c r="A351" s="797"/>
      <c r="B351" s="339"/>
      <c r="C351" s="42"/>
      <c r="D351" s="282"/>
      <c r="E351" s="42"/>
      <c r="F351" s="42"/>
      <c r="G351" s="42"/>
      <c r="H351" s="42"/>
      <c r="I351" s="42"/>
      <c r="J351" s="42"/>
      <c r="K351" s="42"/>
      <c r="L351" s="42"/>
      <c r="M351" s="42"/>
      <c r="N351" s="282"/>
      <c r="O351" s="42"/>
      <c r="P351" s="42"/>
      <c r="Q351" s="42"/>
      <c r="R351" s="42"/>
      <c r="S351" s="42"/>
      <c r="T351" s="42"/>
      <c r="U351" s="42"/>
      <c r="V351" s="42"/>
      <c r="W351" s="42"/>
      <c r="X351" s="42"/>
      <c r="Y351" s="42"/>
      <c r="Z351" s="42"/>
      <c r="AA351" s="42"/>
      <c r="AB351" s="42"/>
      <c r="AC351" s="42"/>
      <c r="AD351" s="42"/>
      <c r="AE351" s="42"/>
      <c r="AF351" s="42"/>
      <c r="AG351" s="42"/>
      <c r="AH351" s="42"/>
      <c r="AI351" s="42"/>
      <c r="AJ351" s="42"/>
    </row>
    <row r="352" spans="1:36" ht="15.75">
      <c r="A352" s="797"/>
      <c r="B352" s="339"/>
      <c r="C352" s="42"/>
      <c r="D352" s="282"/>
      <c r="E352" s="42"/>
      <c r="F352" s="42"/>
      <c r="G352" s="42"/>
      <c r="H352" s="42"/>
      <c r="I352" s="42"/>
      <c r="J352" s="42"/>
      <c r="K352" s="42"/>
      <c r="L352" s="42"/>
      <c r="M352" s="42"/>
      <c r="N352" s="282"/>
      <c r="O352" s="42"/>
      <c r="P352" s="42"/>
      <c r="Q352" s="42"/>
      <c r="R352" s="42"/>
      <c r="S352" s="42"/>
      <c r="T352" s="42"/>
      <c r="U352" s="42"/>
      <c r="V352" s="42"/>
      <c r="W352" s="42"/>
      <c r="X352" s="42"/>
      <c r="Y352" s="42"/>
      <c r="Z352" s="42"/>
      <c r="AA352" s="42"/>
      <c r="AB352" s="42"/>
      <c r="AC352" s="42"/>
      <c r="AD352" s="42"/>
      <c r="AE352" s="42"/>
      <c r="AF352" s="42"/>
      <c r="AG352" s="42"/>
      <c r="AH352" s="42"/>
      <c r="AI352" s="42"/>
      <c r="AJ352" s="42"/>
    </row>
    <row r="353" spans="1:36" ht="15.75">
      <c r="A353" s="797"/>
      <c r="B353" s="339"/>
      <c r="C353" s="42"/>
      <c r="D353" s="282"/>
      <c r="E353" s="42"/>
      <c r="F353" s="42"/>
      <c r="G353" s="42"/>
      <c r="H353" s="42"/>
      <c r="I353" s="42"/>
      <c r="J353" s="42"/>
      <c r="K353" s="42"/>
      <c r="L353" s="42"/>
      <c r="M353" s="42"/>
      <c r="N353" s="282"/>
      <c r="O353" s="42"/>
      <c r="P353" s="42"/>
      <c r="Q353" s="42"/>
      <c r="R353" s="42"/>
      <c r="S353" s="42"/>
      <c r="T353" s="42"/>
      <c r="U353" s="42"/>
      <c r="V353" s="42"/>
      <c r="W353" s="42"/>
      <c r="X353" s="42"/>
      <c r="Y353" s="42"/>
      <c r="Z353" s="42"/>
      <c r="AA353" s="42"/>
      <c r="AB353" s="42"/>
      <c r="AC353" s="42"/>
      <c r="AD353" s="42"/>
      <c r="AE353" s="42"/>
      <c r="AF353" s="42"/>
      <c r="AG353" s="42"/>
      <c r="AH353" s="42"/>
      <c r="AI353" s="42"/>
      <c r="AJ353" s="42"/>
    </row>
    <row r="354" spans="1:36" ht="15.75">
      <c r="A354" s="797"/>
      <c r="B354" s="339"/>
      <c r="C354" s="42"/>
      <c r="D354" s="282"/>
      <c r="E354" s="42"/>
      <c r="F354" s="42"/>
      <c r="G354" s="42"/>
      <c r="H354" s="42"/>
      <c r="I354" s="42"/>
      <c r="J354" s="42"/>
      <c r="K354" s="42"/>
      <c r="L354" s="42"/>
      <c r="M354" s="42"/>
      <c r="N354" s="282"/>
      <c r="O354" s="42"/>
      <c r="P354" s="42"/>
      <c r="Q354" s="42"/>
      <c r="R354" s="42"/>
      <c r="S354" s="42"/>
      <c r="T354" s="42"/>
      <c r="U354" s="42"/>
      <c r="V354" s="42"/>
      <c r="W354" s="42"/>
      <c r="X354" s="42"/>
      <c r="Y354" s="42"/>
      <c r="Z354" s="42"/>
      <c r="AA354" s="42"/>
      <c r="AB354" s="42"/>
      <c r="AC354" s="42"/>
      <c r="AD354" s="42"/>
      <c r="AE354" s="42"/>
      <c r="AF354" s="42"/>
      <c r="AG354" s="42"/>
      <c r="AH354" s="42"/>
      <c r="AI354" s="42"/>
      <c r="AJ354" s="42"/>
    </row>
    <row r="355" spans="1:36" ht="15.75">
      <c r="A355" s="797"/>
      <c r="B355" s="339"/>
      <c r="C355" s="42"/>
      <c r="D355" s="282"/>
      <c r="E355" s="42"/>
      <c r="F355" s="42"/>
      <c r="G355" s="42"/>
      <c r="H355" s="42"/>
      <c r="I355" s="42"/>
      <c r="J355" s="42"/>
      <c r="K355" s="42"/>
      <c r="L355" s="42"/>
      <c r="M355" s="42"/>
      <c r="N355" s="282"/>
      <c r="O355" s="42"/>
      <c r="P355" s="42"/>
      <c r="Q355" s="42"/>
      <c r="R355" s="42"/>
      <c r="S355" s="42"/>
      <c r="T355" s="42"/>
      <c r="U355" s="42"/>
      <c r="V355" s="42"/>
      <c r="W355" s="42"/>
      <c r="X355" s="42"/>
      <c r="Y355" s="42"/>
      <c r="Z355" s="42"/>
      <c r="AA355" s="42"/>
      <c r="AB355" s="42"/>
      <c r="AC355" s="42"/>
      <c r="AD355" s="42"/>
      <c r="AE355" s="42"/>
      <c r="AF355" s="42"/>
      <c r="AG355" s="42"/>
      <c r="AH355" s="42"/>
      <c r="AI355" s="42"/>
      <c r="AJ355" s="42"/>
    </row>
    <row r="356" spans="1:36" ht="15.75">
      <c r="A356" s="797"/>
      <c r="B356" s="339"/>
      <c r="C356" s="42"/>
      <c r="D356" s="282"/>
      <c r="E356" s="42"/>
      <c r="F356" s="42"/>
      <c r="G356" s="42"/>
      <c r="H356" s="42"/>
      <c r="I356" s="42"/>
      <c r="J356" s="42"/>
      <c r="K356" s="42"/>
      <c r="L356" s="42"/>
      <c r="M356" s="42"/>
      <c r="N356" s="282"/>
      <c r="O356" s="42"/>
      <c r="P356" s="42"/>
      <c r="Q356" s="42"/>
      <c r="R356" s="42"/>
      <c r="S356" s="42"/>
      <c r="T356" s="42"/>
      <c r="U356" s="42"/>
      <c r="V356" s="42"/>
      <c r="W356" s="42"/>
      <c r="X356" s="42"/>
      <c r="Y356" s="42"/>
      <c r="Z356" s="42"/>
      <c r="AA356" s="42"/>
      <c r="AB356" s="42"/>
      <c r="AC356" s="42"/>
      <c r="AD356" s="42"/>
      <c r="AE356" s="42"/>
      <c r="AF356" s="42"/>
      <c r="AG356" s="42"/>
      <c r="AH356" s="42"/>
      <c r="AI356" s="42"/>
      <c r="AJ356" s="42"/>
    </row>
    <row r="357" spans="1:36" ht="15.75">
      <c r="A357" s="797"/>
      <c r="B357" s="339"/>
      <c r="C357" s="42"/>
      <c r="D357" s="282"/>
      <c r="E357" s="42"/>
      <c r="F357" s="42"/>
      <c r="G357" s="42"/>
      <c r="H357" s="42"/>
      <c r="I357" s="42"/>
      <c r="J357" s="42"/>
      <c r="K357" s="42"/>
      <c r="L357" s="42"/>
      <c r="M357" s="42"/>
      <c r="N357" s="282"/>
      <c r="O357" s="42"/>
      <c r="P357" s="42"/>
      <c r="Q357" s="42"/>
      <c r="R357" s="42"/>
      <c r="S357" s="42"/>
      <c r="T357" s="42"/>
      <c r="U357" s="42"/>
      <c r="V357" s="42"/>
      <c r="W357" s="42"/>
      <c r="X357" s="42"/>
      <c r="Y357" s="42"/>
      <c r="Z357" s="42"/>
      <c r="AA357" s="42"/>
      <c r="AB357" s="42"/>
      <c r="AC357" s="42"/>
      <c r="AD357" s="42"/>
      <c r="AE357" s="42"/>
      <c r="AF357" s="42"/>
      <c r="AG357" s="42"/>
      <c r="AH357" s="42"/>
      <c r="AI357" s="42"/>
      <c r="AJ357" s="42"/>
    </row>
    <row r="358" spans="1:36" ht="15.75">
      <c r="A358" s="797"/>
      <c r="B358" s="339"/>
      <c r="C358" s="42"/>
      <c r="D358" s="282"/>
      <c r="E358" s="42"/>
      <c r="F358" s="42"/>
      <c r="G358" s="42"/>
      <c r="H358" s="42"/>
      <c r="I358" s="42"/>
      <c r="J358" s="42"/>
      <c r="K358" s="42"/>
      <c r="L358" s="42"/>
      <c r="M358" s="42"/>
      <c r="N358" s="282"/>
      <c r="O358" s="42"/>
      <c r="P358" s="42"/>
      <c r="Q358" s="42"/>
      <c r="R358" s="42"/>
      <c r="S358" s="42"/>
      <c r="T358" s="42"/>
      <c r="U358" s="42"/>
      <c r="V358" s="42"/>
      <c r="W358" s="42"/>
      <c r="X358" s="42"/>
      <c r="Y358" s="42"/>
      <c r="Z358" s="42"/>
      <c r="AA358" s="42"/>
      <c r="AB358" s="42"/>
      <c r="AC358" s="42"/>
      <c r="AD358" s="42"/>
      <c r="AE358" s="42"/>
      <c r="AF358" s="42"/>
      <c r="AG358" s="42"/>
      <c r="AH358" s="42"/>
      <c r="AI358" s="42"/>
      <c r="AJ358" s="42"/>
    </row>
    <row r="359" spans="1:36" ht="15.75">
      <c r="A359" s="797"/>
      <c r="B359" s="339"/>
      <c r="C359" s="42"/>
      <c r="D359" s="282"/>
      <c r="E359" s="42"/>
      <c r="F359" s="42"/>
      <c r="G359" s="42"/>
      <c r="H359" s="42"/>
      <c r="I359" s="42"/>
      <c r="J359" s="42"/>
      <c r="K359" s="42"/>
      <c r="L359" s="42"/>
      <c r="M359" s="42"/>
      <c r="N359" s="282"/>
      <c r="O359" s="42"/>
      <c r="P359" s="42"/>
      <c r="Q359" s="42"/>
      <c r="R359" s="42"/>
      <c r="S359" s="42"/>
      <c r="T359" s="42"/>
      <c r="U359" s="42"/>
      <c r="V359" s="42"/>
      <c r="W359" s="42"/>
      <c r="X359" s="42"/>
      <c r="Y359" s="42"/>
      <c r="Z359" s="42"/>
      <c r="AA359" s="42"/>
      <c r="AB359" s="42"/>
      <c r="AC359" s="42"/>
      <c r="AD359" s="42"/>
      <c r="AE359" s="42"/>
      <c r="AF359" s="42"/>
      <c r="AG359" s="42"/>
      <c r="AH359" s="42"/>
      <c r="AI359" s="42"/>
      <c r="AJ359" s="42"/>
    </row>
    <row r="360" spans="1:36" ht="15.75">
      <c r="A360" s="797"/>
      <c r="B360" s="339"/>
      <c r="C360" s="42"/>
      <c r="D360" s="282"/>
      <c r="E360" s="42"/>
      <c r="F360" s="42"/>
      <c r="G360" s="42"/>
      <c r="H360" s="42"/>
      <c r="I360" s="42"/>
      <c r="J360" s="42"/>
      <c r="K360" s="42"/>
      <c r="L360" s="42"/>
      <c r="M360" s="42"/>
      <c r="N360" s="282"/>
      <c r="O360" s="42"/>
      <c r="P360" s="42"/>
      <c r="Q360" s="42"/>
      <c r="R360" s="42"/>
      <c r="S360" s="42"/>
      <c r="T360" s="42"/>
      <c r="U360" s="42"/>
      <c r="V360" s="42"/>
      <c r="W360" s="42"/>
      <c r="X360" s="42"/>
      <c r="Y360" s="42"/>
      <c r="Z360" s="42"/>
      <c r="AA360" s="42"/>
      <c r="AB360" s="42"/>
      <c r="AC360" s="42"/>
      <c r="AD360" s="42"/>
      <c r="AE360" s="42"/>
      <c r="AF360" s="42"/>
      <c r="AG360" s="42"/>
      <c r="AH360" s="42"/>
      <c r="AI360" s="42"/>
      <c r="AJ360" s="42"/>
    </row>
    <row r="361" spans="1:36" ht="15.75">
      <c r="A361" s="797"/>
      <c r="B361" s="339"/>
      <c r="C361" s="42"/>
      <c r="D361" s="282"/>
      <c r="E361" s="42"/>
      <c r="F361" s="42"/>
      <c r="G361" s="42"/>
      <c r="H361" s="42"/>
      <c r="I361" s="42"/>
      <c r="J361" s="42"/>
      <c r="K361" s="42"/>
      <c r="L361" s="42"/>
      <c r="M361" s="42"/>
      <c r="N361" s="282"/>
      <c r="O361" s="42"/>
      <c r="P361" s="42"/>
      <c r="Q361" s="42"/>
      <c r="R361" s="42"/>
      <c r="S361" s="42"/>
      <c r="T361" s="42"/>
      <c r="U361" s="42"/>
      <c r="V361" s="42"/>
      <c r="W361" s="42"/>
      <c r="X361" s="42"/>
      <c r="Y361" s="42"/>
      <c r="Z361" s="42"/>
      <c r="AA361" s="42"/>
      <c r="AB361" s="42"/>
      <c r="AC361" s="42"/>
      <c r="AD361" s="42"/>
      <c r="AE361" s="42"/>
      <c r="AF361" s="42"/>
      <c r="AG361" s="42"/>
      <c r="AH361" s="42"/>
      <c r="AI361" s="42"/>
      <c r="AJ361" s="42"/>
    </row>
    <row r="362" spans="1:36" ht="15.75">
      <c r="A362" s="797"/>
      <c r="B362" s="339"/>
      <c r="C362" s="42"/>
      <c r="D362" s="282"/>
      <c r="E362" s="42"/>
      <c r="F362" s="42"/>
      <c r="G362" s="42"/>
      <c r="H362" s="42"/>
      <c r="I362" s="42"/>
      <c r="J362" s="42"/>
      <c r="K362" s="42"/>
      <c r="L362" s="42"/>
      <c r="M362" s="42"/>
      <c r="N362" s="282"/>
      <c r="O362" s="42"/>
      <c r="P362" s="42"/>
      <c r="Q362" s="42"/>
      <c r="R362" s="42"/>
      <c r="S362" s="42"/>
      <c r="T362" s="42"/>
      <c r="U362" s="42"/>
      <c r="V362" s="42"/>
      <c r="W362" s="42"/>
      <c r="X362" s="42"/>
      <c r="Y362" s="42"/>
      <c r="Z362" s="42"/>
      <c r="AA362" s="42"/>
      <c r="AB362" s="42"/>
      <c r="AC362" s="42"/>
      <c r="AD362" s="42"/>
      <c r="AE362" s="42"/>
      <c r="AF362" s="42"/>
      <c r="AG362" s="42"/>
      <c r="AH362" s="42"/>
      <c r="AI362" s="42"/>
      <c r="AJ362" s="42"/>
    </row>
    <row r="363" spans="1:36" ht="15.75">
      <c r="A363" s="797"/>
      <c r="B363" s="339"/>
      <c r="C363" s="42"/>
      <c r="D363" s="282"/>
      <c r="E363" s="42"/>
      <c r="F363" s="42"/>
      <c r="G363" s="42"/>
      <c r="H363" s="42"/>
      <c r="I363" s="42"/>
      <c r="J363" s="42"/>
      <c r="K363" s="42"/>
      <c r="L363" s="42"/>
      <c r="M363" s="42"/>
      <c r="N363" s="282"/>
      <c r="O363" s="42"/>
      <c r="P363" s="42"/>
      <c r="Q363" s="42"/>
      <c r="R363" s="42"/>
      <c r="S363" s="42"/>
      <c r="T363" s="42"/>
      <c r="U363" s="42"/>
      <c r="V363" s="42"/>
      <c r="W363" s="42"/>
      <c r="X363" s="42"/>
      <c r="Y363" s="42"/>
      <c r="Z363" s="42"/>
      <c r="AA363" s="42"/>
      <c r="AB363" s="42"/>
      <c r="AC363" s="42"/>
      <c r="AD363" s="42"/>
      <c r="AE363" s="42"/>
      <c r="AF363" s="42"/>
      <c r="AG363" s="42"/>
      <c r="AH363" s="42"/>
      <c r="AI363" s="42"/>
      <c r="AJ363" s="42"/>
    </row>
    <row r="364" spans="1:36" ht="15.75">
      <c r="A364" s="797"/>
      <c r="B364" s="339"/>
      <c r="C364" s="42"/>
      <c r="D364" s="282"/>
      <c r="E364" s="42"/>
      <c r="F364" s="42"/>
      <c r="G364" s="42"/>
      <c r="H364" s="42"/>
      <c r="I364" s="42"/>
      <c r="J364" s="42"/>
      <c r="K364" s="42"/>
      <c r="L364" s="42"/>
      <c r="M364" s="42"/>
      <c r="N364" s="282"/>
      <c r="O364" s="42"/>
      <c r="P364" s="42"/>
      <c r="Q364" s="42"/>
      <c r="R364" s="42"/>
      <c r="S364" s="42"/>
      <c r="T364" s="42"/>
      <c r="U364" s="42"/>
      <c r="V364" s="42"/>
      <c r="W364" s="42"/>
      <c r="X364" s="42"/>
      <c r="Y364" s="42"/>
      <c r="Z364" s="42"/>
      <c r="AA364" s="42"/>
      <c r="AB364" s="42"/>
      <c r="AC364" s="42"/>
      <c r="AD364" s="42"/>
      <c r="AE364" s="42"/>
      <c r="AF364" s="42"/>
      <c r="AG364" s="42"/>
      <c r="AH364" s="42"/>
      <c r="AI364" s="42"/>
      <c r="AJ364" s="42"/>
    </row>
    <row r="365" spans="1:36" ht="15.75">
      <c r="A365" s="797"/>
      <c r="B365" s="339"/>
      <c r="C365" s="42"/>
      <c r="D365" s="282"/>
      <c r="E365" s="42"/>
      <c r="F365" s="42"/>
      <c r="G365" s="42"/>
      <c r="H365" s="42"/>
      <c r="I365" s="42"/>
      <c r="J365" s="42"/>
      <c r="K365" s="42"/>
      <c r="L365" s="42"/>
      <c r="M365" s="42"/>
      <c r="N365" s="282"/>
      <c r="O365" s="42"/>
      <c r="P365" s="42"/>
      <c r="Q365" s="42"/>
      <c r="R365" s="42"/>
      <c r="S365" s="42"/>
      <c r="T365" s="42"/>
      <c r="U365" s="42"/>
      <c r="V365" s="42"/>
      <c r="W365" s="42"/>
      <c r="X365" s="42"/>
      <c r="Y365" s="42"/>
      <c r="Z365" s="42"/>
      <c r="AA365" s="42"/>
      <c r="AB365" s="42"/>
      <c r="AC365" s="42"/>
      <c r="AD365" s="42"/>
      <c r="AE365" s="42"/>
      <c r="AF365" s="42"/>
      <c r="AG365" s="42"/>
      <c r="AH365" s="42"/>
      <c r="AI365" s="42"/>
      <c r="AJ365" s="42"/>
    </row>
    <row r="366" spans="1:36" ht="15.75">
      <c r="A366" s="797"/>
      <c r="B366" s="339"/>
      <c r="C366" s="42"/>
      <c r="D366" s="282"/>
      <c r="E366" s="42"/>
      <c r="F366" s="42"/>
      <c r="G366" s="42"/>
      <c r="H366" s="42"/>
      <c r="I366" s="42"/>
      <c r="J366" s="42"/>
      <c r="K366" s="42"/>
      <c r="L366" s="42"/>
      <c r="M366" s="42"/>
      <c r="N366" s="282"/>
      <c r="O366" s="42"/>
      <c r="P366" s="42"/>
      <c r="Q366" s="42"/>
      <c r="R366" s="42"/>
      <c r="S366" s="42"/>
      <c r="T366" s="42"/>
      <c r="U366" s="42"/>
      <c r="V366" s="42"/>
      <c r="W366" s="42"/>
      <c r="X366" s="42"/>
      <c r="Y366" s="42"/>
      <c r="Z366" s="42"/>
      <c r="AA366" s="42"/>
      <c r="AB366" s="42"/>
      <c r="AC366" s="42"/>
      <c r="AD366" s="42"/>
      <c r="AE366" s="42"/>
      <c r="AF366" s="42"/>
      <c r="AG366" s="42"/>
      <c r="AH366" s="42"/>
      <c r="AI366" s="42"/>
      <c r="AJ366" s="42"/>
    </row>
    <row r="367" spans="1:36" ht="15.75">
      <c r="A367" s="797"/>
      <c r="B367" s="339"/>
      <c r="C367" s="42"/>
      <c r="D367" s="282"/>
      <c r="E367" s="42"/>
      <c r="F367" s="42"/>
      <c r="G367" s="42"/>
      <c r="H367" s="42"/>
      <c r="I367" s="42"/>
      <c r="J367" s="42"/>
      <c r="K367" s="42"/>
      <c r="L367" s="42"/>
      <c r="M367" s="42"/>
      <c r="N367" s="282"/>
      <c r="O367" s="42"/>
      <c r="P367" s="42"/>
      <c r="Q367" s="42"/>
      <c r="R367" s="42"/>
      <c r="S367" s="42"/>
      <c r="T367" s="42"/>
      <c r="U367" s="42"/>
      <c r="V367" s="42"/>
      <c r="W367" s="42"/>
      <c r="X367" s="42"/>
      <c r="Y367" s="42"/>
      <c r="Z367" s="42"/>
      <c r="AA367" s="42"/>
      <c r="AB367" s="42"/>
      <c r="AC367" s="42"/>
      <c r="AD367" s="42"/>
      <c r="AE367" s="42"/>
      <c r="AF367" s="42"/>
      <c r="AG367" s="42"/>
      <c r="AH367" s="42"/>
      <c r="AI367" s="42"/>
      <c r="AJ367" s="42"/>
    </row>
    <row r="368" spans="1:36" ht="15.75">
      <c r="A368" s="797"/>
      <c r="B368" s="339"/>
      <c r="C368" s="42"/>
      <c r="D368" s="282"/>
      <c r="E368" s="42"/>
      <c r="F368" s="42"/>
      <c r="G368" s="42"/>
      <c r="H368" s="42"/>
      <c r="I368" s="42"/>
      <c r="J368" s="42"/>
      <c r="K368" s="42"/>
      <c r="L368" s="42"/>
      <c r="M368" s="42"/>
      <c r="N368" s="282"/>
      <c r="O368" s="42"/>
      <c r="P368" s="42"/>
      <c r="Q368" s="42"/>
      <c r="R368" s="42"/>
      <c r="S368" s="42"/>
      <c r="T368" s="42"/>
      <c r="U368" s="42"/>
      <c r="V368" s="42"/>
      <c r="W368" s="42"/>
      <c r="X368" s="42"/>
      <c r="Y368" s="42"/>
      <c r="Z368" s="42"/>
      <c r="AA368" s="42"/>
      <c r="AB368" s="42"/>
      <c r="AC368" s="42"/>
      <c r="AD368" s="42"/>
      <c r="AE368" s="42"/>
      <c r="AF368" s="42"/>
      <c r="AG368" s="42"/>
      <c r="AH368" s="42"/>
      <c r="AI368" s="42"/>
      <c r="AJ368" s="42"/>
    </row>
    <row r="369" spans="1:36" ht="15.75">
      <c r="A369" s="797"/>
      <c r="B369" s="339"/>
      <c r="C369" s="42"/>
      <c r="D369" s="282"/>
      <c r="E369" s="42"/>
      <c r="F369" s="42"/>
      <c r="G369" s="42"/>
      <c r="H369" s="42"/>
      <c r="I369" s="42"/>
      <c r="J369" s="42"/>
      <c r="K369" s="42"/>
      <c r="L369" s="42"/>
      <c r="M369" s="42"/>
      <c r="N369" s="282"/>
      <c r="O369" s="42"/>
      <c r="P369" s="42"/>
      <c r="Q369" s="42"/>
      <c r="R369" s="42"/>
      <c r="S369" s="42"/>
      <c r="T369" s="42"/>
      <c r="U369" s="42"/>
      <c r="V369" s="42"/>
      <c r="W369" s="42"/>
      <c r="X369" s="42"/>
      <c r="Y369" s="42"/>
      <c r="Z369" s="42"/>
      <c r="AA369" s="42"/>
      <c r="AB369" s="42"/>
      <c r="AC369" s="42"/>
      <c r="AD369" s="42"/>
      <c r="AE369" s="42"/>
      <c r="AF369" s="42"/>
      <c r="AG369" s="42"/>
      <c r="AH369" s="42"/>
      <c r="AI369" s="42"/>
      <c r="AJ369" s="42"/>
    </row>
    <row r="370" spans="1:36" ht="15.75">
      <c r="A370" s="797"/>
      <c r="B370" s="339"/>
      <c r="C370" s="42"/>
      <c r="D370" s="282"/>
      <c r="E370" s="42"/>
      <c r="F370" s="42"/>
      <c r="G370" s="42"/>
      <c r="H370" s="42"/>
      <c r="I370" s="42"/>
      <c r="J370" s="42"/>
      <c r="K370" s="42"/>
      <c r="L370" s="42"/>
      <c r="M370" s="42"/>
      <c r="N370" s="282"/>
      <c r="O370" s="42"/>
      <c r="P370" s="42"/>
      <c r="Q370" s="42"/>
      <c r="R370" s="42"/>
      <c r="S370" s="42"/>
      <c r="T370" s="42"/>
      <c r="U370" s="42"/>
      <c r="V370" s="42"/>
      <c r="W370" s="42"/>
      <c r="X370" s="42"/>
      <c r="Y370" s="42"/>
      <c r="Z370" s="42"/>
      <c r="AA370" s="42"/>
      <c r="AB370" s="42"/>
      <c r="AC370" s="42"/>
      <c r="AD370" s="42"/>
      <c r="AE370" s="42"/>
      <c r="AF370" s="42"/>
      <c r="AG370" s="42"/>
      <c r="AH370" s="42"/>
      <c r="AI370" s="42"/>
      <c r="AJ370" s="42"/>
    </row>
    <row r="371" spans="1:36" ht="15.75">
      <c r="A371" s="797"/>
      <c r="B371" s="339"/>
      <c r="C371" s="42"/>
      <c r="D371" s="282"/>
      <c r="E371" s="42"/>
      <c r="F371" s="42"/>
      <c r="G371" s="42"/>
      <c r="H371" s="42"/>
      <c r="I371" s="42"/>
      <c r="J371" s="42"/>
      <c r="K371" s="42"/>
      <c r="L371" s="42"/>
      <c r="M371" s="42"/>
      <c r="N371" s="282"/>
      <c r="O371" s="42"/>
      <c r="P371" s="42"/>
      <c r="Q371" s="42"/>
      <c r="R371" s="42"/>
      <c r="S371" s="42"/>
      <c r="T371" s="42"/>
      <c r="U371" s="42"/>
      <c r="V371" s="42"/>
      <c r="W371" s="42"/>
      <c r="X371" s="42"/>
      <c r="Y371" s="42"/>
      <c r="Z371" s="42"/>
      <c r="AA371" s="42"/>
      <c r="AB371" s="42"/>
      <c r="AC371" s="42"/>
      <c r="AD371" s="42"/>
      <c r="AE371" s="42"/>
      <c r="AF371" s="42"/>
      <c r="AG371" s="42"/>
      <c r="AH371" s="42"/>
      <c r="AI371" s="42"/>
      <c r="AJ371" s="42"/>
    </row>
    <row r="372" spans="1:36" ht="15.75">
      <c r="A372" s="797"/>
      <c r="B372" s="339"/>
      <c r="C372" s="42"/>
      <c r="D372" s="282"/>
      <c r="E372" s="42"/>
      <c r="F372" s="42"/>
      <c r="G372" s="42"/>
      <c r="H372" s="42"/>
      <c r="I372" s="42"/>
      <c r="J372" s="42"/>
      <c r="K372" s="42"/>
      <c r="L372" s="42"/>
      <c r="M372" s="42"/>
      <c r="N372" s="282"/>
      <c r="O372" s="42"/>
      <c r="P372" s="42"/>
      <c r="Q372" s="42"/>
      <c r="R372" s="42"/>
      <c r="S372" s="42"/>
      <c r="T372" s="42"/>
      <c r="U372" s="42"/>
      <c r="V372" s="42"/>
      <c r="W372" s="42"/>
      <c r="X372" s="42"/>
      <c r="Y372" s="42"/>
      <c r="Z372" s="42"/>
      <c r="AA372" s="42"/>
      <c r="AB372" s="42"/>
      <c r="AC372" s="42"/>
      <c r="AD372" s="42"/>
      <c r="AE372" s="42"/>
      <c r="AF372" s="42"/>
      <c r="AG372" s="42"/>
      <c r="AH372" s="42"/>
      <c r="AI372" s="42"/>
      <c r="AJ372" s="42"/>
    </row>
    <row r="373" spans="1:36" ht="15.75">
      <c r="A373" s="797"/>
      <c r="B373" s="339"/>
      <c r="C373" s="42"/>
      <c r="D373" s="282"/>
      <c r="E373" s="42"/>
      <c r="F373" s="42"/>
      <c r="G373" s="42"/>
      <c r="H373" s="42"/>
      <c r="I373" s="42"/>
      <c r="J373" s="42"/>
      <c r="K373" s="42"/>
      <c r="L373" s="42"/>
      <c r="M373" s="42"/>
      <c r="N373" s="282"/>
      <c r="O373" s="42"/>
      <c r="P373" s="42"/>
      <c r="Q373" s="42"/>
      <c r="R373" s="42"/>
      <c r="S373" s="42"/>
      <c r="T373" s="42"/>
      <c r="U373" s="42"/>
      <c r="V373" s="42"/>
      <c r="W373" s="42"/>
      <c r="X373" s="42"/>
      <c r="Y373" s="42"/>
      <c r="Z373" s="42"/>
      <c r="AA373" s="42"/>
      <c r="AB373" s="42"/>
      <c r="AC373" s="42"/>
      <c r="AD373" s="42"/>
      <c r="AE373" s="42"/>
      <c r="AF373" s="42"/>
      <c r="AG373" s="42"/>
      <c r="AH373" s="42"/>
      <c r="AI373" s="42"/>
      <c r="AJ373" s="42"/>
    </row>
    <row r="374" spans="1:36" ht="15.75">
      <c r="A374" s="797"/>
      <c r="B374" s="339"/>
      <c r="C374" s="42"/>
      <c r="D374" s="282"/>
      <c r="E374" s="42"/>
      <c r="F374" s="42"/>
      <c r="G374" s="42"/>
      <c r="H374" s="42"/>
      <c r="I374" s="42"/>
      <c r="J374" s="42"/>
      <c r="K374" s="42"/>
      <c r="L374" s="42"/>
      <c r="M374" s="42"/>
      <c r="N374" s="282"/>
      <c r="O374" s="42"/>
      <c r="P374" s="42"/>
      <c r="Q374" s="42"/>
      <c r="R374" s="42"/>
      <c r="S374" s="42"/>
      <c r="T374" s="42"/>
      <c r="U374" s="42"/>
      <c r="V374" s="42"/>
      <c r="W374" s="42"/>
      <c r="X374" s="42"/>
      <c r="Y374" s="42"/>
      <c r="Z374" s="42"/>
      <c r="AA374" s="42"/>
      <c r="AB374" s="42"/>
      <c r="AC374" s="42"/>
      <c r="AD374" s="42"/>
      <c r="AE374" s="42"/>
      <c r="AF374" s="42"/>
      <c r="AG374" s="42"/>
      <c r="AH374" s="42"/>
      <c r="AI374" s="42"/>
      <c r="AJ374" s="42"/>
    </row>
    <row r="375" spans="1:36" ht="15.75">
      <c r="A375" s="797"/>
      <c r="B375" s="339"/>
      <c r="C375" s="42"/>
      <c r="D375" s="282"/>
      <c r="E375" s="42"/>
      <c r="F375" s="42"/>
      <c r="G375" s="42"/>
      <c r="H375" s="42"/>
      <c r="I375" s="42"/>
      <c r="J375" s="42"/>
      <c r="K375" s="42"/>
      <c r="L375" s="42"/>
      <c r="M375" s="42"/>
      <c r="N375" s="282"/>
      <c r="O375" s="42"/>
      <c r="P375" s="42"/>
      <c r="Q375" s="42"/>
      <c r="R375" s="42"/>
      <c r="S375" s="42"/>
      <c r="T375" s="42"/>
      <c r="U375" s="42"/>
      <c r="V375" s="42"/>
      <c r="W375" s="42"/>
      <c r="X375" s="42"/>
      <c r="Y375" s="42"/>
      <c r="Z375" s="42"/>
      <c r="AA375" s="42"/>
      <c r="AB375" s="42"/>
      <c r="AC375" s="42"/>
      <c r="AD375" s="42"/>
      <c r="AE375" s="42"/>
      <c r="AF375" s="42"/>
      <c r="AG375" s="42"/>
      <c r="AH375" s="42"/>
      <c r="AI375" s="42"/>
      <c r="AJ375" s="42"/>
    </row>
    <row r="376" spans="1:36" ht="15.75">
      <c r="A376" s="797"/>
      <c r="B376" s="339"/>
      <c r="C376" s="42"/>
      <c r="D376" s="282"/>
      <c r="E376" s="42"/>
      <c r="F376" s="42"/>
      <c r="G376" s="42"/>
      <c r="H376" s="42"/>
      <c r="I376" s="42"/>
      <c r="J376" s="42"/>
      <c r="K376" s="42"/>
      <c r="L376" s="42"/>
      <c r="M376" s="42"/>
      <c r="N376" s="282"/>
      <c r="O376" s="42"/>
      <c r="P376" s="42"/>
      <c r="Q376" s="42"/>
      <c r="R376" s="42"/>
      <c r="S376" s="42"/>
      <c r="T376" s="42"/>
      <c r="U376" s="42"/>
      <c r="V376" s="42"/>
      <c r="W376" s="42"/>
      <c r="X376" s="42"/>
      <c r="Y376" s="42"/>
      <c r="Z376" s="42"/>
      <c r="AA376" s="42"/>
      <c r="AB376" s="42"/>
      <c r="AC376" s="42"/>
      <c r="AD376" s="42"/>
      <c r="AE376" s="42"/>
      <c r="AF376" s="42"/>
      <c r="AG376" s="42"/>
      <c r="AH376" s="42"/>
      <c r="AI376" s="42"/>
      <c r="AJ376" s="42"/>
    </row>
    <row r="377" spans="1:36" ht="15.75">
      <c r="A377" s="797"/>
      <c r="B377" s="339"/>
      <c r="C377" s="42"/>
      <c r="D377" s="282"/>
      <c r="E377" s="42"/>
      <c r="F377" s="42"/>
      <c r="G377" s="42"/>
      <c r="H377" s="42"/>
      <c r="I377" s="42"/>
      <c r="J377" s="42"/>
      <c r="K377" s="42"/>
      <c r="L377" s="42"/>
      <c r="M377" s="42"/>
      <c r="N377" s="282"/>
      <c r="O377" s="42"/>
      <c r="P377" s="42"/>
      <c r="Q377" s="42"/>
      <c r="R377" s="42"/>
      <c r="S377" s="42"/>
      <c r="T377" s="42"/>
      <c r="U377" s="42"/>
      <c r="V377" s="42"/>
      <c r="W377" s="42"/>
      <c r="X377" s="42"/>
      <c r="Y377" s="42"/>
      <c r="Z377" s="42"/>
      <c r="AA377" s="42"/>
      <c r="AB377" s="42"/>
      <c r="AC377" s="42"/>
      <c r="AD377" s="42"/>
      <c r="AE377" s="42"/>
      <c r="AF377" s="42"/>
      <c r="AG377" s="42"/>
      <c r="AH377" s="42"/>
      <c r="AI377" s="42"/>
      <c r="AJ377" s="42"/>
    </row>
    <row r="378" spans="1:36" ht="15.75">
      <c r="A378" s="797"/>
      <c r="B378" s="339"/>
      <c r="C378" s="42"/>
      <c r="D378" s="282"/>
      <c r="E378" s="42"/>
      <c r="F378" s="42"/>
      <c r="G378" s="42"/>
      <c r="H378" s="42"/>
      <c r="I378" s="42"/>
      <c r="J378" s="42"/>
      <c r="K378" s="42"/>
      <c r="L378" s="42"/>
      <c r="M378" s="42"/>
      <c r="N378" s="282"/>
      <c r="O378" s="42"/>
      <c r="P378" s="42"/>
      <c r="Q378" s="42"/>
      <c r="R378" s="42"/>
      <c r="S378" s="42"/>
      <c r="T378" s="42"/>
      <c r="U378" s="42"/>
      <c r="V378" s="42"/>
      <c r="W378" s="42"/>
      <c r="X378" s="42"/>
      <c r="Y378" s="42"/>
      <c r="Z378" s="42"/>
      <c r="AA378" s="42"/>
      <c r="AB378" s="42"/>
      <c r="AC378" s="42"/>
      <c r="AD378" s="42"/>
      <c r="AE378" s="42"/>
      <c r="AF378" s="42"/>
      <c r="AG378" s="42"/>
      <c r="AH378" s="42"/>
      <c r="AI378" s="42"/>
      <c r="AJ378" s="42"/>
    </row>
    <row r="379" spans="1:36" ht="15.75">
      <c r="A379" s="797"/>
      <c r="B379" s="339"/>
      <c r="C379" s="42"/>
      <c r="D379" s="282"/>
      <c r="E379" s="42"/>
      <c r="F379" s="42"/>
      <c r="G379" s="42"/>
      <c r="H379" s="42"/>
      <c r="I379" s="42"/>
      <c r="J379" s="42"/>
      <c r="K379" s="42"/>
      <c r="L379" s="42"/>
      <c r="M379" s="42"/>
      <c r="N379" s="282"/>
      <c r="O379" s="42"/>
      <c r="P379" s="42"/>
      <c r="Q379" s="42"/>
      <c r="R379" s="42"/>
      <c r="S379" s="42"/>
      <c r="T379" s="42"/>
      <c r="U379" s="42"/>
      <c r="V379" s="42"/>
      <c r="W379" s="42"/>
      <c r="X379" s="42"/>
      <c r="Y379" s="42"/>
      <c r="Z379" s="42"/>
      <c r="AA379" s="42"/>
      <c r="AB379" s="42"/>
      <c r="AC379" s="42"/>
      <c r="AD379" s="42"/>
      <c r="AE379" s="42"/>
      <c r="AF379" s="42"/>
      <c r="AG379" s="42"/>
      <c r="AH379" s="42"/>
      <c r="AI379" s="42"/>
      <c r="AJ379" s="42"/>
    </row>
    <row r="380" spans="1:36" ht="15.75">
      <c r="A380" s="797"/>
      <c r="B380" s="339"/>
      <c r="C380" s="42"/>
      <c r="D380" s="282"/>
      <c r="E380" s="42"/>
      <c r="F380" s="42"/>
      <c r="G380" s="42"/>
      <c r="H380" s="42"/>
      <c r="I380" s="42"/>
      <c r="J380" s="42"/>
      <c r="K380" s="42"/>
      <c r="L380" s="42"/>
      <c r="M380" s="42"/>
      <c r="N380" s="282"/>
      <c r="O380" s="42"/>
      <c r="P380" s="42"/>
      <c r="Q380" s="42"/>
      <c r="R380" s="42"/>
      <c r="S380" s="42"/>
      <c r="T380" s="42"/>
      <c r="U380" s="42"/>
      <c r="V380" s="42"/>
      <c r="W380" s="42"/>
      <c r="X380" s="42"/>
      <c r="Y380" s="42"/>
      <c r="Z380" s="42"/>
      <c r="AA380" s="42"/>
      <c r="AB380" s="42"/>
      <c r="AC380" s="42"/>
      <c r="AD380" s="42"/>
      <c r="AE380" s="42"/>
      <c r="AF380" s="42"/>
      <c r="AG380" s="42"/>
      <c r="AH380" s="42"/>
      <c r="AI380" s="42"/>
      <c r="AJ380" s="42"/>
    </row>
    <row r="381" spans="1:36" ht="15.75">
      <c r="A381" s="797"/>
      <c r="B381" s="339"/>
      <c r="C381" s="42"/>
      <c r="D381" s="282"/>
      <c r="E381" s="42"/>
      <c r="F381" s="42"/>
      <c r="G381" s="42"/>
      <c r="H381" s="42"/>
      <c r="I381" s="42"/>
      <c r="J381" s="42"/>
      <c r="K381" s="42"/>
      <c r="L381" s="42"/>
      <c r="M381" s="42"/>
      <c r="N381" s="282"/>
      <c r="O381" s="42"/>
      <c r="P381" s="42"/>
      <c r="Q381" s="42"/>
      <c r="R381" s="42"/>
      <c r="S381" s="42"/>
      <c r="T381" s="42"/>
      <c r="U381" s="42"/>
      <c r="V381" s="42"/>
      <c r="W381" s="42"/>
      <c r="X381" s="42"/>
      <c r="Y381" s="42"/>
      <c r="Z381" s="42"/>
      <c r="AA381" s="42"/>
      <c r="AB381" s="42"/>
      <c r="AC381" s="42"/>
      <c r="AD381" s="42"/>
      <c r="AE381" s="42"/>
      <c r="AF381" s="42"/>
      <c r="AG381" s="42"/>
      <c r="AH381" s="42"/>
      <c r="AI381" s="42"/>
      <c r="AJ381" s="42"/>
    </row>
    <row r="382" spans="1:36" ht="15.75">
      <c r="A382" s="797"/>
      <c r="B382" s="339"/>
      <c r="C382" s="42"/>
      <c r="D382" s="282"/>
      <c r="E382" s="42"/>
      <c r="F382" s="42"/>
      <c r="G382" s="42"/>
      <c r="H382" s="42"/>
      <c r="I382" s="42"/>
      <c r="J382" s="42"/>
      <c r="K382" s="42"/>
      <c r="L382" s="42"/>
      <c r="M382" s="42"/>
      <c r="N382" s="282"/>
      <c r="O382" s="42"/>
      <c r="P382" s="42"/>
      <c r="Q382" s="42"/>
      <c r="R382" s="42"/>
      <c r="S382" s="42"/>
      <c r="T382" s="42"/>
      <c r="U382" s="42"/>
      <c r="V382" s="42"/>
      <c r="W382" s="42"/>
      <c r="X382" s="42"/>
      <c r="Y382" s="42"/>
      <c r="Z382" s="42"/>
      <c r="AA382" s="42"/>
      <c r="AB382" s="42"/>
      <c r="AC382" s="42"/>
      <c r="AD382" s="42"/>
      <c r="AE382" s="42"/>
      <c r="AF382" s="42"/>
      <c r="AG382" s="42"/>
      <c r="AH382" s="42"/>
      <c r="AI382" s="42"/>
      <c r="AJ382" s="42"/>
    </row>
    <row r="383" spans="1:36" ht="15.75">
      <c r="A383" s="797"/>
      <c r="B383" s="339"/>
      <c r="C383" s="42"/>
      <c r="D383" s="282"/>
      <c r="E383" s="42"/>
      <c r="F383" s="42"/>
      <c r="G383" s="42"/>
      <c r="H383" s="42"/>
      <c r="I383" s="42"/>
      <c r="J383" s="42"/>
      <c r="K383" s="42"/>
      <c r="L383" s="42"/>
      <c r="M383" s="42"/>
      <c r="N383" s="282"/>
      <c r="O383" s="42"/>
      <c r="P383" s="42"/>
      <c r="Q383" s="42"/>
      <c r="R383" s="42"/>
      <c r="S383" s="42"/>
      <c r="T383" s="42"/>
      <c r="U383" s="42"/>
      <c r="V383" s="42"/>
      <c r="W383" s="42"/>
      <c r="X383" s="42"/>
      <c r="Y383" s="42"/>
      <c r="Z383" s="42"/>
      <c r="AA383" s="42"/>
      <c r="AB383" s="42"/>
      <c r="AC383" s="42"/>
      <c r="AD383" s="42"/>
      <c r="AE383" s="42"/>
      <c r="AF383" s="42"/>
      <c r="AG383" s="42"/>
      <c r="AH383" s="42"/>
      <c r="AI383" s="42"/>
      <c r="AJ383" s="42"/>
    </row>
    <row r="384" spans="1:36" ht="15.75">
      <c r="A384" s="797"/>
      <c r="B384" s="339"/>
      <c r="C384" s="42"/>
      <c r="D384" s="282"/>
      <c r="E384" s="42"/>
      <c r="F384" s="42"/>
      <c r="G384" s="42"/>
      <c r="H384" s="42"/>
      <c r="I384" s="42"/>
      <c r="J384" s="42"/>
      <c r="K384" s="42"/>
      <c r="L384" s="42"/>
      <c r="M384" s="42"/>
      <c r="N384" s="282"/>
      <c r="O384" s="42"/>
      <c r="P384" s="42"/>
      <c r="Q384" s="42"/>
      <c r="R384" s="42"/>
      <c r="S384" s="42"/>
      <c r="T384" s="42"/>
      <c r="U384" s="42"/>
      <c r="V384" s="42"/>
      <c r="W384" s="42"/>
      <c r="X384" s="42"/>
      <c r="Y384" s="42"/>
      <c r="Z384" s="42"/>
      <c r="AA384" s="42"/>
      <c r="AB384" s="42"/>
      <c r="AC384" s="42"/>
      <c r="AD384" s="42"/>
      <c r="AE384" s="42"/>
      <c r="AF384" s="42"/>
      <c r="AG384" s="42"/>
      <c r="AH384" s="42"/>
      <c r="AI384" s="42"/>
      <c r="AJ384" s="42"/>
    </row>
    <row r="385" spans="1:36" ht="15.75">
      <c r="A385" s="797"/>
      <c r="B385" s="339"/>
      <c r="C385" s="42"/>
      <c r="D385" s="282"/>
      <c r="E385" s="42"/>
      <c r="F385" s="42"/>
      <c r="G385" s="42"/>
      <c r="H385" s="42"/>
      <c r="I385" s="42"/>
      <c r="J385" s="42"/>
      <c r="K385" s="42"/>
      <c r="L385" s="42"/>
      <c r="M385" s="42"/>
      <c r="N385" s="282"/>
      <c r="O385" s="42"/>
      <c r="P385" s="42"/>
      <c r="Q385" s="42"/>
      <c r="R385" s="42"/>
      <c r="S385" s="42"/>
      <c r="T385" s="42"/>
      <c r="U385" s="42"/>
      <c r="V385" s="42"/>
      <c r="W385" s="42"/>
      <c r="X385" s="42"/>
      <c r="Y385" s="42"/>
      <c r="Z385" s="42"/>
      <c r="AA385" s="42"/>
      <c r="AB385" s="42"/>
      <c r="AC385" s="42"/>
      <c r="AD385" s="42"/>
      <c r="AE385" s="42"/>
      <c r="AF385" s="42"/>
      <c r="AG385" s="42"/>
      <c r="AH385" s="42"/>
      <c r="AI385" s="42"/>
      <c r="AJ385" s="42"/>
    </row>
    <row r="386" spans="1:36" ht="15.75">
      <c r="A386" s="797"/>
      <c r="B386" s="339"/>
      <c r="C386" s="42"/>
      <c r="D386" s="282"/>
      <c r="E386" s="42"/>
      <c r="F386" s="42"/>
      <c r="G386" s="42"/>
      <c r="H386" s="42"/>
      <c r="I386" s="42"/>
      <c r="J386" s="42"/>
      <c r="K386" s="42"/>
      <c r="L386" s="42"/>
      <c r="M386" s="42"/>
      <c r="N386" s="282"/>
      <c r="O386" s="42"/>
      <c r="P386" s="42"/>
      <c r="Q386" s="42"/>
      <c r="R386" s="42"/>
      <c r="S386" s="42"/>
      <c r="T386" s="42"/>
      <c r="U386" s="42"/>
      <c r="V386" s="42"/>
      <c r="W386" s="42"/>
      <c r="X386" s="42"/>
      <c r="Y386" s="42"/>
      <c r="Z386" s="42"/>
      <c r="AA386" s="42"/>
      <c r="AB386" s="42"/>
      <c r="AC386" s="42"/>
      <c r="AD386" s="42"/>
      <c r="AE386" s="42"/>
      <c r="AF386" s="42"/>
      <c r="AG386" s="42"/>
      <c r="AH386" s="42"/>
      <c r="AI386" s="42"/>
      <c r="AJ386" s="42"/>
    </row>
    <row r="387" spans="1:36" ht="15.75">
      <c r="A387" s="797"/>
      <c r="B387" s="339"/>
      <c r="C387" s="42"/>
      <c r="D387" s="282"/>
      <c r="E387" s="42"/>
      <c r="F387" s="42"/>
      <c r="G387" s="42"/>
      <c r="H387" s="42"/>
      <c r="I387" s="42"/>
      <c r="J387" s="42"/>
      <c r="K387" s="42"/>
      <c r="L387" s="42"/>
      <c r="M387" s="42"/>
      <c r="N387" s="282"/>
      <c r="O387" s="42"/>
      <c r="P387" s="42"/>
      <c r="Q387" s="42"/>
      <c r="R387" s="42"/>
      <c r="S387" s="42"/>
      <c r="T387" s="42"/>
      <c r="U387" s="42"/>
      <c r="V387" s="42"/>
      <c r="W387" s="42"/>
      <c r="X387" s="42"/>
      <c r="Y387" s="42"/>
      <c r="Z387" s="42"/>
      <c r="AA387" s="42"/>
      <c r="AB387" s="42"/>
      <c r="AC387" s="42"/>
      <c r="AD387" s="42"/>
      <c r="AE387" s="42"/>
      <c r="AF387" s="42"/>
      <c r="AG387" s="42"/>
      <c r="AH387" s="42"/>
      <c r="AI387" s="42"/>
      <c r="AJ387" s="42"/>
    </row>
    <row r="388" spans="1:36" ht="15.75">
      <c r="A388" s="797"/>
      <c r="B388" s="339"/>
      <c r="C388" s="42"/>
      <c r="D388" s="282"/>
      <c r="E388" s="42"/>
      <c r="F388" s="42"/>
      <c r="G388" s="42"/>
      <c r="H388" s="42"/>
      <c r="I388" s="42"/>
      <c r="J388" s="42"/>
      <c r="K388" s="42"/>
      <c r="L388" s="42"/>
      <c r="M388" s="42"/>
      <c r="N388" s="282"/>
      <c r="O388" s="42"/>
      <c r="P388" s="42"/>
      <c r="Q388" s="42"/>
      <c r="R388" s="42"/>
      <c r="S388" s="42"/>
      <c r="T388" s="42"/>
      <c r="U388" s="42"/>
      <c r="V388" s="42"/>
      <c r="W388" s="42"/>
      <c r="X388" s="42"/>
      <c r="Y388" s="42"/>
      <c r="Z388" s="42"/>
      <c r="AA388" s="42"/>
      <c r="AB388" s="42"/>
      <c r="AC388" s="42"/>
      <c r="AD388" s="42"/>
      <c r="AE388" s="42"/>
      <c r="AF388" s="42"/>
      <c r="AG388" s="42"/>
      <c r="AH388" s="42"/>
      <c r="AI388" s="42"/>
      <c r="AJ388" s="42"/>
    </row>
    <row r="389" spans="1:36" ht="15.75">
      <c r="A389" s="797"/>
      <c r="B389" s="339"/>
      <c r="C389" s="42"/>
      <c r="D389" s="282"/>
      <c r="E389" s="42"/>
      <c r="F389" s="42"/>
      <c r="G389" s="42"/>
      <c r="H389" s="42"/>
      <c r="I389" s="42"/>
      <c r="J389" s="42"/>
      <c r="K389" s="42"/>
      <c r="L389" s="42"/>
      <c r="M389" s="42"/>
      <c r="N389" s="282"/>
      <c r="O389" s="42"/>
      <c r="P389" s="42"/>
      <c r="Q389" s="42"/>
      <c r="R389" s="42"/>
      <c r="S389" s="42"/>
      <c r="T389" s="42"/>
      <c r="U389" s="42"/>
      <c r="V389" s="42"/>
      <c r="W389" s="42"/>
      <c r="X389" s="42"/>
      <c r="Y389" s="42"/>
      <c r="Z389" s="42"/>
      <c r="AA389" s="42"/>
      <c r="AB389" s="42"/>
      <c r="AC389" s="42"/>
      <c r="AD389" s="42"/>
      <c r="AE389" s="42"/>
      <c r="AF389" s="42"/>
      <c r="AG389" s="42"/>
      <c r="AH389" s="42"/>
      <c r="AI389" s="42"/>
      <c r="AJ389" s="42"/>
    </row>
    <row r="390" spans="1:36" ht="15.75">
      <c r="A390" s="797"/>
      <c r="B390" s="339"/>
      <c r="C390" s="42"/>
      <c r="D390" s="282"/>
      <c r="E390" s="42"/>
      <c r="F390" s="42"/>
      <c r="G390" s="42"/>
      <c r="H390" s="42"/>
      <c r="I390" s="42"/>
      <c r="J390" s="42"/>
      <c r="K390" s="42"/>
      <c r="L390" s="42"/>
      <c r="M390" s="42"/>
      <c r="N390" s="282"/>
      <c r="O390" s="42"/>
      <c r="P390" s="42"/>
      <c r="Q390" s="42"/>
      <c r="R390" s="42"/>
      <c r="S390" s="42"/>
      <c r="T390" s="42"/>
      <c r="U390" s="42"/>
      <c r="V390" s="42"/>
      <c r="W390" s="42"/>
      <c r="X390" s="42"/>
      <c r="Y390" s="42"/>
      <c r="Z390" s="42"/>
      <c r="AA390" s="42"/>
      <c r="AB390" s="42"/>
      <c r="AC390" s="42"/>
      <c r="AD390" s="42"/>
      <c r="AE390" s="42"/>
      <c r="AF390" s="42"/>
      <c r="AG390" s="42"/>
      <c r="AH390" s="42"/>
      <c r="AI390" s="42"/>
      <c r="AJ390" s="42"/>
    </row>
    <row r="391" spans="1:36" ht="15.75">
      <c r="A391" s="797"/>
      <c r="B391" s="339"/>
      <c r="C391" s="42"/>
      <c r="D391" s="282"/>
      <c r="E391" s="42"/>
      <c r="F391" s="42"/>
      <c r="G391" s="42"/>
      <c r="H391" s="42"/>
      <c r="I391" s="42"/>
      <c r="J391" s="42"/>
      <c r="K391" s="42"/>
      <c r="L391" s="42"/>
      <c r="M391" s="42"/>
      <c r="N391" s="282"/>
      <c r="O391" s="42"/>
      <c r="P391" s="42"/>
      <c r="Q391" s="42"/>
      <c r="R391" s="42"/>
      <c r="S391" s="42"/>
      <c r="T391" s="42"/>
      <c r="U391" s="42"/>
      <c r="V391" s="42"/>
      <c r="W391" s="42"/>
      <c r="X391" s="42"/>
      <c r="Y391" s="42"/>
      <c r="Z391" s="42"/>
      <c r="AA391" s="42"/>
      <c r="AB391" s="42"/>
      <c r="AC391" s="42"/>
      <c r="AD391" s="42"/>
      <c r="AE391" s="42"/>
      <c r="AF391" s="42"/>
      <c r="AG391" s="42"/>
      <c r="AH391" s="42"/>
      <c r="AI391" s="42"/>
      <c r="AJ391" s="42"/>
    </row>
    <row r="392" spans="1:36" ht="15.75">
      <c r="A392" s="797"/>
      <c r="B392" s="339"/>
      <c r="C392" s="42"/>
      <c r="D392" s="282"/>
      <c r="E392" s="42"/>
      <c r="F392" s="42"/>
      <c r="G392" s="42"/>
      <c r="H392" s="42"/>
      <c r="I392" s="42"/>
      <c r="J392" s="42"/>
      <c r="K392" s="42"/>
      <c r="L392" s="42"/>
      <c r="M392" s="42"/>
      <c r="N392" s="282"/>
      <c r="O392" s="42"/>
      <c r="P392" s="42"/>
      <c r="Q392" s="42"/>
      <c r="R392" s="42"/>
      <c r="S392" s="42"/>
      <c r="T392" s="42"/>
      <c r="U392" s="42"/>
      <c r="V392" s="42"/>
      <c r="W392" s="42"/>
      <c r="X392" s="42"/>
      <c r="Y392" s="42"/>
      <c r="Z392" s="42"/>
      <c r="AA392" s="42"/>
      <c r="AB392" s="42"/>
      <c r="AC392" s="42"/>
      <c r="AD392" s="42"/>
      <c r="AE392" s="42"/>
      <c r="AF392" s="42"/>
      <c r="AG392" s="42"/>
      <c r="AH392" s="42"/>
      <c r="AI392" s="42"/>
      <c r="AJ392" s="42"/>
    </row>
    <row r="393" spans="1:36" ht="15.75">
      <c r="A393" s="797"/>
      <c r="B393" s="339"/>
      <c r="C393" s="42"/>
      <c r="D393" s="282"/>
      <c r="E393" s="42"/>
      <c r="F393" s="42"/>
      <c r="G393" s="42"/>
      <c r="H393" s="42"/>
      <c r="I393" s="42"/>
      <c r="J393" s="42"/>
      <c r="K393" s="42"/>
      <c r="L393" s="42"/>
      <c r="M393" s="42"/>
      <c r="N393" s="282"/>
      <c r="O393" s="42"/>
      <c r="P393" s="42"/>
      <c r="Q393" s="42"/>
      <c r="R393" s="42"/>
      <c r="S393" s="42"/>
      <c r="T393" s="42"/>
      <c r="U393" s="42"/>
      <c r="V393" s="42"/>
      <c r="W393" s="42"/>
      <c r="X393" s="42"/>
      <c r="Y393" s="42"/>
      <c r="Z393" s="42"/>
      <c r="AA393" s="42"/>
      <c r="AB393" s="42"/>
      <c r="AC393" s="42"/>
      <c r="AD393" s="42"/>
      <c r="AE393" s="42"/>
      <c r="AF393" s="42"/>
      <c r="AG393" s="42"/>
      <c r="AH393" s="42"/>
      <c r="AI393" s="42"/>
      <c r="AJ393" s="42"/>
    </row>
    <row r="394" spans="1:36" ht="15.75">
      <c r="A394" s="797"/>
      <c r="B394" s="339"/>
      <c r="C394" s="42"/>
      <c r="D394" s="282"/>
      <c r="E394" s="42"/>
      <c r="F394" s="42"/>
      <c r="G394" s="42"/>
      <c r="H394" s="42"/>
      <c r="I394" s="42"/>
      <c r="J394" s="42"/>
      <c r="K394" s="42"/>
      <c r="L394" s="42"/>
      <c r="M394" s="42"/>
      <c r="N394" s="282"/>
      <c r="O394" s="42"/>
      <c r="P394" s="42"/>
      <c r="Q394" s="42"/>
      <c r="R394" s="42"/>
      <c r="S394" s="42"/>
      <c r="T394" s="42"/>
      <c r="U394" s="42"/>
      <c r="V394" s="42"/>
      <c r="W394" s="42"/>
      <c r="X394" s="42"/>
      <c r="Y394" s="42"/>
      <c r="Z394" s="42"/>
      <c r="AA394" s="42"/>
      <c r="AB394" s="42"/>
      <c r="AC394" s="42"/>
      <c r="AD394" s="42"/>
      <c r="AE394" s="42"/>
      <c r="AF394" s="42"/>
      <c r="AG394" s="42"/>
      <c r="AH394" s="42"/>
      <c r="AI394" s="42"/>
      <c r="AJ394" s="42"/>
    </row>
    <row r="395" spans="1:36" ht="15.75">
      <c r="A395" s="797"/>
      <c r="B395" s="339"/>
      <c r="C395" s="42"/>
      <c r="D395" s="282"/>
      <c r="E395" s="42"/>
      <c r="F395" s="42"/>
      <c r="G395" s="42"/>
      <c r="H395" s="42"/>
      <c r="I395" s="42"/>
      <c r="J395" s="42"/>
      <c r="K395" s="42"/>
      <c r="L395" s="42"/>
      <c r="M395" s="42"/>
      <c r="N395" s="282"/>
      <c r="O395" s="42"/>
      <c r="P395" s="42"/>
      <c r="Q395" s="42"/>
      <c r="R395" s="42"/>
      <c r="S395" s="42"/>
      <c r="T395" s="42"/>
      <c r="U395" s="42"/>
      <c r="V395" s="42"/>
      <c r="W395" s="42"/>
      <c r="X395" s="42"/>
      <c r="Y395" s="42"/>
      <c r="Z395" s="42"/>
      <c r="AA395" s="42"/>
      <c r="AB395" s="42"/>
      <c r="AC395" s="42"/>
      <c r="AD395" s="42"/>
      <c r="AE395" s="42"/>
      <c r="AF395" s="42"/>
      <c r="AG395" s="42"/>
      <c r="AH395" s="42"/>
      <c r="AI395" s="42"/>
      <c r="AJ395" s="42"/>
    </row>
    <row r="396" spans="1:36" ht="15.75">
      <c r="A396" s="797"/>
      <c r="B396" s="339"/>
      <c r="C396" s="42"/>
      <c r="D396" s="282"/>
      <c r="E396" s="42"/>
      <c r="F396" s="42"/>
      <c r="G396" s="42"/>
      <c r="H396" s="42"/>
      <c r="I396" s="42"/>
      <c r="J396" s="42"/>
      <c r="K396" s="42"/>
      <c r="L396" s="42"/>
      <c r="M396" s="42"/>
      <c r="N396" s="282"/>
      <c r="O396" s="42"/>
      <c r="P396" s="42"/>
      <c r="Q396" s="42"/>
      <c r="R396" s="42"/>
      <c r="S396" s="42"/>
      <c r="T396" s="42"/>
      <c r="U396" s="42"/>
      <c r="V396" s="42"/>
      <c r="W396" s="42"/>
      <c r="X396" s="42"/>
      <c r="Y396" s="42"/>
      <c r="Z396" s="42"/>
      <c r="AA396" s="42"/>
      <c r="AB396" s="42"/>
      <c r="AC396" s="42"/>
      <c r="AD396" s="42"/>
      <c r="AE396" s="42"/>
      <c r="AF396" s="42"/>
      <c r="AG396" s="42"/>
      <c r="AH396" s="42"/>
      <c r="AI396" s="42"/>
      <c r="AJ396" s="42"/>
    </row>
    <row r="397" spans="1:36" ht="15.75">
      <c r="A397" s="797"/>
      <c r="B397" s="339"/>
      <c r="C397" s="42"/>
      <c r="D397" s="282"/>
      <c r="E397" s="42"/>
      <c r="F397" s="42"/>
      <c r="G397" s="42"/>
      <c r="H397" s="42"/>
      <c r="I397" s="42"/>
      <c r="J397" s="42"/>
      <c r="K397" s="42"/>
      <c r="L397" s="42"/>
      <c r="M397" s="42"/>
      <c r="N397" s="282"/>
      <c r="O397" s="42"/>
      <c r="P397" s="42"/>
      <c r="Q397" s="42"/>
      <c r="R397" s="42"/>
      <c r="S397" s="42"/>
      <c r="T397" s="42"/>
      <c r="U397" s="42"/>
      <c r="V397" s="42"/>
      <c r="W397" s="42"/>
      <c r="X397" s="42"/>
      <c r="Y397" s="42"/>
      <c r="Z397" s="42"/>
      <c r="AA397" s="42"/>
      <c r="AB397" s="42"/>
      <c r="AC397" s="42"/>
      <c r="AD397" s="42"/>
      <c r="AE397" s="42"/>
      <c r="AF397" s="42"/>
      <c r="AG397" s="42"/>
      <c r="AH397" s="42"/>
      <c r="AI397" s="42"/>
      <c r="AJ397" s="42"/>
    </row>
    <row r="398" spans="1:36" ht="15.75">
      <c r="A398" s="797"/>
      <c r="B398" s="339"/>
      <c r="C398" s="42"/>
      <c r="D398" s="282"/>
      <c r="E398" s="42"/>
      <c r="F398" s="42"/>
      <c r="G398" s="42"/>
      <c r="H398" s="42"/>
      <c r="I398" s="42"/>
      <c r="J398" s="42"/>
      <c r="K398" s="42"/>
      <c r="L398" s="42"/>
      <c r="M398" s="42"/>
      <c r="N398" s="282"/>
      <c r="O398" s="42"/>
      <c r="P398" s="42"/>
      <c r="Q398" s="42"/>
      <c r="R398" s="42"/>
      <c r="S398" s="42"/>
      <c r="T398" s="42"/>
      <c r="U398" s="42"/>
      <c r="V398" s="42"/>
      <c r="W398" s="42"/>
      <c r="X398" s="42"/>
      <c r="Y398" s="42"/>
      <c r="Z398" s="42"/>
      <c r="AA398" s="42"/>
      <c r="AB398" s="42"/>
      <c r="AC398" s="42"/>
      <c r="AD398" s="42"/>
      <c r="AE398" s="42"/>
      <c r="AF398" s="42"/>
      <c r="AG398" s="42"/>
      <c r="AH398" s="42"/>
      <c r="AI398" s="42"/>
      <c r="AJ398" s="42"/>
    </row>
    <row r="399" spans="1:36" ht="15.75">
      <c r="A399" s="797"/>
      <c r="B399" s="339"/>
      <c r="C399" s="42"/>
      <c r="D399" s="282"/>
      <c r="E399" s="42"/>
      <c r="F399" s="42"/>
      <c r="G399" s="42"/>
      <c r="H399" s="42"/>
      <c r="I399" s="42"/>
      <c r="J399" s="42"/>
      <c r="K399" s="42"/>
      <c r="L399" s="42"/>
      <c r="M399" s="42"/>
      <c r="N399" s="282"/>
      <c r="O399" s="42"/>
      <c r="P399" s="42"/>
      <c r="Q399" s="42"/>
      <c r="R399" s="42"/>
      <c r="S399" s="42"/>
      <c r="T399" s="42"/>
      <c r="U399" s="42"/>
      <c r="V399" s="42"/>
      <c r="W399" s="42"/>
      <c r="X399" s="42"/>
      <c r="Y399" s="42"/>
      <c r="Z399" s="42"/>
      <c r="AA399" s="42"/>
      <c r="AB399" s="42"/>
      <c r="AC399" s="42"/>
      <c r="AD399" s="42"/>
      <c r="AE399" s="42"/>
      <c r="AF399" s="42"/>
      <c r="AG399" s="42"/>
      <c r="AH399" s="42"/>
      <c r="AI399" s="42"/>
      <c r="AJ399" s="42"/>
    </row>
    <row r="400" spans="1:36" ht="15.75">
      <c r="A400" s="797"/>
      <c r="B400" s="339"/>
      <c r="C400" s="42"/>
      <c r="D400" s="282"/>
      <c r="E400" s="42"/>
      <c r="F400" s="42"/>
      <c r="G400" s="42"/>
      <c r="H400" s="42"/>
      <c r="I400" s="42"/>
      <c r="J400" s="42"/>
      <c r="K400" s="42"/>
      <c r="L400" s="42"/>
      <c r="M400" s="42"/>
      <c r="N400" s="282"/>
      <c r="O400" s="42"/>
      <c r="P400" s="42"/>
      <c r="Q400" s="42"/>
      <c r="R400" s="42"/>
      <c r="S400" s="42"/>
      <c r="T400" s="42"/>
      <c r="U400" s="42"/>
      <c r="V400" s="42"/>
      <c r="W400" s="42"/>
      <c r="X400" s="42"/>
      <c r="Y400" s="42"/>
      <c r="Z400" s="42"/>
      <c r="AA400" s="42"/>
      <c r="AB400" s="42"/>
      <c r="AC400" s="42"/>
      <c r="AD400" s="42"/>
      <c r="AE400" s="42"/>
      <c r="AF400" s="42"/>
      <c r="AG400" s="42"/>
      <c r="AH400" s="42"/>
      <c r="AI400" s="42"/>
      <c r="AJ400" s="42"/>
    </row>
    <row r="401" spans="1:36" ht="15.75">
      <c r="A401" s="797"/>
      <c r="B401" s="339"/>
      <c r="C401" s="42"/>
      <c r="D401" s="282"/>
      <c r="E401" s="42"/>
      <c r="F401" s="42"/>
      <c r="G401" s="42"/>
      <c r="H401" s="42"/>
      <c r="I401" s="42"/>
      <c r="J401" s="42"/>
      <c r="K401" s="42"/>
      <c r="L401" s="42"/>
      <c r="M401" s="42"/>
      <c r="N401" s="282"/>
      <c r="O401" s="42"/>
      <c r="P401" s="42"/>
      <c r="Q401" s="42"/>
      <c r="R401" s="42"/>
      <c r="S401" s="42"/>
      <c r="T401" s="42"/>
      <c r="U401" s="42"/>
      <c r="V401" s="42"/>
      <c r="W401" s="42"/>
      <c r="X401" s="42"/>
      <c r="Y401" s="42"/>
      <c r="Z401" s="42"/>
      <c r="AA401" s="42"/>
      <c r="AB401" s="42"/>
      <c r="AC401" s="42"/>
      <c r="AD401" s="42"/>
      <c r="AE401" s="42"/>
      <c r="AF401" s="42"/>
      <c r="AG401" s="42"/>
      <c r="AH401" s="42"/>
      <c r="AI401" s="42"/>
      <c r="AJ401" s="42"/>
    </row>
    <row r="402" spans="1:36" ht="15.75">
      <c r="A402" s="797"/>
      <c r="B402" s="339"/>
      <c r="C402" s="42"/>
      <c r="D402" s="282"/>
      <c r="E402" s="42"/>
      <c r="F402" s="42"/>
      <c r="G402" s="42"/>
      <c r="H402" s="42"/>
      <c r="I402" s="42"/>
      <c r="J402" s="42"/>
      <c r="K402" s="42"/>
      <c r="L402" s="42"/>
      <c r="M402" s="42"/>
      <c r="N402" s="282"/>
      <c r="O402" s="42"/>
      <c r="P402" s="42"/>
      <c r="Q402" s="42"/>
      <c r="R402" s="42"/>
      <c r="S402" s="42"/>
      <c r="T402" s="42"/>
      <c r="U402" s="42"/>
      <c r="V402" s="42"/>
      <c r="W402" s="42"/>
      <c r="X402" s="42"/>
      <c r="Y402" s="42"/>
      <c r="Z402" s="42"/>
      <c r="AA402" s="42"/>
      <c r="AB402" s="42"/>
      <c r="AC402" s="42"/>
      <c r="AD402" s="42"/>
      <c r="AE402" s="42"/>
      <c r="AF402" s="42"/>
      <c r="AG402" s="42"/>
      <c r="AH402" s="42"/>
      <c r="AI402" s="42"/>
      <c r="AJ402" s="42"/>
    </row>
    <row r="403" spans="1:36" ht="15.75">
      <c r="A403" s="797"/>
      <c r="B403" s="339"/>
      <c r="C403" s="42"/>
      <c r="D403" s="282"/>
      <c r="E403" s="42"/>
      <c r="F403" s="42"/>
      <c r="G403" s="42"/>
      <c r="H403" s="42"/>
      <c r="I403" s="42"/>
      <c r="J403" s="42"/>
      <c r="K403" s="42"/>
      <c r="L403" s="42"/>
      <c r="M403" s="42"/>
      <c r="N403" s="282"/>
      <c r="O403" s="42"/>
      <c r="P403" s="42"/>
      <c r="Q403" s="42"/>
      <c r="R403" s="42"/>
      <c r="S403" s="42"/>
      <c r="T403" s="42"/>
      <c r="U403" s="42"/>
      <c r="V403" s="42"/>
      <c r="W403" s="42"/>
      <c r="X403" s="42"/>
      <c r="Y403" s="42"/>
      <c r="Z403" s="42"/>
      <c r="AA403" s="42"/>
      <c r="AB403" s="42"/>
      <c r="AC403" s="42"/>
      <c r="AD403" s="42"/>
      <c r="AE403" s="42"/>
      <c r="AF403" s="42"/>
      <c r="AG403" s="42"/>
      <c r="AH403" s="42"/>
      <c r="AI403" s="42"/>
      <c r="AJ403" s="42"/>
    </row>
    <row r="404" spans="1:36" ht="15.75">
      <c r="A404" s="797"/>
      <c r="B404" s="339"/>
      <c r="C404" s="42"/>
      <c r="D404" s="282"/>
      <c r="E404" s="42"/>
      <c r="F404" s="42"/>
      <c r="G404" s="42"/>
      <c r="H404" s="42"/>
      <c r="I404" s="42"/>
      <c r="J404" s="42"/>
      <c r="K404" s="42"/>
      <c r="L404" s="42"/>
      <c r="M404" s="42"/>
      <c r="N404" s="282"/>
      <c r="O404" s="42"/>
      <c r="P404" s="42"/>
      <c r="Q404" s="42"/>
      <c r="R404" s="42"/>
      <c r="S404" s="42"/>
      <c r="T404" s="42"/>
      <c r="U404" s="42"/>
      <c r="V404" s="42"/>
      <c r="W404" s="42"/>
      <c r="X404" s="42"/>
      <c r="Y404" s="42"/>
      <c r="Z404" s="42"/>
      <c r="AA404" s="42"/>
      <c r="AB404" s="42"/>
      <c r="AC404" s="42"/>
      <c r="AD404" s="42"/>
      <c r="AE404" s="42"/>
      <c r="AF404" s="42"/>
      <c r="AG404" s="42"/>
      <c r="AH404" s="42"/>
      <c r="AI404" s="42"/>
      <c r="AJ404" s="42"/>
    </row>
    <row r="405" spans="1:36" ht="15.75">
      <c r="A405" s="797"/>
      <c r="B405" s="339"/>
      <c r="C405" s="42"/>
      <c r="D405" s="282"/>
      <c r="E405" s="42"/>
      <c r="F405" s="42"/>
      <c r="G405" s="42"/>
      <c r="H405" s="42"/>
      <c r="I405" s="42"/>
      <c r="J405" s="42"/>
      <c r="K405" s="42"/>
      <c r="L405" s="42"/>
      <c r="M405" s="42"/>
      <c r="N405" s="282"/>
      <c r="O405" s="42"/>
      <c r="P405" s="42"/>
      <c r="Q405" s="42"/>
      <c r="R405" s="42"/>
      <c r="S405" s="42"/>
      <c r="T405" s="42"/>
      <c r="U405" s="42"/>
      <c r="V405" s="42"/>
      <c r="W405" s="42"/>
      <c r="X405" s="42"/>
      <c r="Y405" s="42"/>
      <c r="Z405" s="42"/>
      <c r="AA405" s="42"/>
      <c r="AB405" s="42"/>
      <c r="AC405" s="42"/>
      <c r="AD405" s="42"/>
      <c r="AE405" s="42"/>
      <c r="AF405" s="42"/>
      <c r="AG405" s="42"/>
      <c r="AH405" s="42"/>
      <c r="AI405" s="42"/>
      <c r="AJ405" s="42"/>
    </row>
    <row r="406" spans="1:36" ht="15.75">
      <c r="A406" s="797"/>
      <c r="B406" s="339"/>
      <c r="C406" s="42"/>
      <c r="D406" s="282"/>
      <c r="E406" s="42"/>
      <c r="F406" s="42"/>
      <c r="G406" s="42"/>
      <c r="H406" s="42"/>
      <c r="I406" s="42"/>
      <c r="J406" s="42"/>
      <c r="K406" s="42"/>
      <c r="L406" s="42"/>
      <c r="M406" s="42"/>
      <c r="N406" s="282"/>
      <c r="O406" s="42"/>
      <c r="P406" s="42"/>
      <c r="Q406" s="42"/>
      <c r="R406" s="42"/>
      <c r="S406" s="42"/>
      <c r="T406" s="42"/>
      <c r="U406" s="42"/>
      <c r="V406" s="42"/>
      <c r="W406" s="42"/>
      <c r="X406" s="42"/>
      <c r="Y406" s="42"/>
      <c r="Z406" s="42"/>
      <c r="AA406" s="42"/>
      <c r="AB406" s="42"/>
      <c r="AC406" s="42"/>
      <c r="AD406" s="42"/>
      <c r="AE406" s="42"/>
      <c r="AF406" s="42"/>
      <c r="AG406" s="42"/>
      <c r="AH406" s="42"/>
      <c r="AI406" s="42"/>
      <c r="AJ406" s="42"/>
    </row>
    <row r="407" spans="1:36" ht="15.75">
      <c r="A407" s="797"/>
      <c r="B407" s="339"/>
      <c r="C407" s="42"/>
      <c r="D407" s="282"/>
      <c r="E407" s="42"/>
      <c r="F407" s="42"/>
      <c r="G407" s="42"/>
      <c r="H407" s="42"/>
      <c r="I407" s="42"/>
      <c r="J407" s="42"/>
      <c r="K407" s="42"/>
      <c r="L407" s="42"/>
      <c r="M407" s="42"/>
      <c r="N407" s="282"/>
      <c r="O407" s="42"/>
      <c r="P407" s="42"/>
      <c r="Q407" s="42"/>
      <c r="R407" s="42"/>
      <c r="S407" s="42"/>
      <c r="T407" s="42"/>
      <c r="U407" s="42"/>
      <c r="V407" s="42"/>
      <c r="W407" s="42"/>
      <c r="X407" s="42"/>
      <c r="Y407" s="42"/>
      <c r="Z407" s="42"/>
      <c r="AA407" s="42"/>
      <c r="AB407" s="42"/>
      <c r="AC407" s="42"/>
      <c r="AD407" s="42"/>
      <c r="AE407" s="42"/>
      <c r="AF407" s="42"/>
      <c r="AG407" s="42"/>
      <c r="AH407" s="42"/>
      <c r="AI407" s="42"/>
      <c r="AJ407" s="42"/>
    </row>
    <row r="408" spans="1:36" ht="15.75">
      <c r="A408" s="797"/>
      <c r="B408" s="339"/>
      <c r="C408" s="42"/>
      <c r="D408" s="282"/>
      <c r="E408" s="42"/>
      <c r="F408" s="42"/>
      <c r="G408" s="42"/>
      <c r="H408" s="42"/>
      <c r="I408" s="42"/>
      <c r="J408" s="42"/>
      <c r="K408" s="42"/>
      <c r="L408" s="42"/>
      <c r="M408" s="42"/>
      <c r="N408" s="282"/>
      <c r="O408" s="42"/>
      <c r="P408" s="42"/>
      <c r="Q408" s="42"/>
      <c r="R408" s="42"/>
      <c r="S408" s="42"/>
      <c r="T408" s="42"/>
      <c r="U408" s="42"/>
      <c r="V408" s="42"/>
      <c r="W408" s="42"/>
      <c r="X408" s="42"/>
      <c r="Y408" s="42"/>
      <c r="Z408" s="42"/>
      <c r="AA408" s="42"/>
      <c r="AB408" s="42"/>
      <c r="AC408" s="42"/>
      <c r="AD408" s="42"/>
      <c r="AE408" s="42"/>
      <c r="AF408" s="42"/>
      <c r="AG408" s="42"/>
      <c r="AH408" s="42"/>
      <c r="AI408" s="42"/>
      <c r="AJ408" s="42"/>
    </row>
    <row r="409" spans="1:36" ht="15.75">
      <c r="A409" s="797"/>
      <c r="B409" s="339"/>
      <c r="C409" s="42"/>
      <c r="D409" s="282"/>
      <c r="E409" s="42"/>
      <c r="F409" s="42"/>
      <c r="G409" s="42"/>
      <c r="H409" s="42"/>
      <c r="I409" s="42"/>
      <c r="J409" s="42"/>
      <c r="K409" s="42"/>
      <c r="L409" s="42"/>
      <c r="M409" s="42"/>
      <c r="N409" s="282"/>
      <c r="O409" s="42"/>
      <c r="P409" s="42"/>
      <c r="Q409" s="42"/>
      <c r="R409" s="42"/>
      <c r="S409" s="42"/>
      <c r="T409" s="42"/>
      <c r="U409" s="42"/>
      <c r="V409" s="42"/>
      <c r="W409" s="42"/>
      <c r="X409" s="42"/>
      <c r="Y409" s="42"/>
      <c r="Z409" s="42"/>
      <c r="AA409" s="42"/>
      <c r="AB409" s="42"/>
      <c r="AC409" s="42"/>
      <c r="AD409" s="42"/>
      <c r="AE409" s="42"/>
      <c r="AF409" s="42"/>
      <c r="AG409" s="42"/>
      <c r="AH409" s="42"/>
      <c r="AI409" s="42"/>
      <c r="AJ409" s="42"/>
    </row>
    <row r="410" spans="1:36" ht="15.75">
      <c r="A410" s="797"/>
      <c r="B410" s="339"/>
      <c r="C410" s="42"/>
      <c r="D410" s="282"/>
      <c r="E410" s="42"/>
      <c r="F410" s="42"/>
      <c r="G410" s="42"/>
      <c r="H410" s="42"/>
      <c r="I410" s="42"/>
      <c r="J410" s="42"/>
      <c r="K410" s="42"/>
      <c r="L410" s="42"/>
      <c r="M410" s="42"/>
      <c r="N410" s="282"/>
      <c r="O410" s="42"/>
      <c r="P410" s="42"/>
      <c r="Q410" s="42"/>
      <c r="R410" s="42"/>
      <c r="S410" s="42"/>
      <c r="T410" s="42"/>
      <c r="U410" s="42"/>
      <c r="V410" s="42"/>
      <c r="W410" s="42"/>
      <c r="X410" s="42"/>
      <c r="Y410" s="42"/>
      <c r="Z410" s="42"/>
      <c r="AA410" s="42"/>
      <c r="AB410" s="42"/>
      <c r="AC410" s="42"/>
      <c r="AD410" s="42"/>
      <c r="AE410" s="42"/>
      <c r="AF410" s="42"/>
      <c r="AG410" s="42"/>
      <c r="AH410" s="42"/>
      <c r="AI410" s="42"/>
      <c r="AJ410" s="42"/>
    </row>
    <row r="411" spans="1:36" ht="15.75">
      <c r="A411" s="797"/>
      <c r="B411" s="339"/>
      <c r="C411" s="42"/>
      <c r="D411" s="282"/>
      <c r="E411" s="42"/>
      <c r="F411" s="42"/>
      <c r="G411" s="42"/>
      <c r="H411" s="42"/>
      <c r="I411" s="42"/>
      <c r="J411" s="42"/>
      <c r="K411" s="42"/>
      <c r="L411" s="42"/>
      <c r="M411" s="42"/>
      <c r="N411" s="282"/>
      <c r="O411" s="42"/>
      <c r="P411" s="42"/>
      <c r="Q411" s="42"/>
      <c r="R411" s="42"/>
      <c r="S411" s="42"/>
      <c r="T411" s="42"/>
      <c r="U411" s="42"/>
      <c r="V411" s="42"/>
      <c r="W411" s="42"/>
      <c r="X411" s="42"/>
      <c r="Y411" s="42"/>
      <c r="Z411" s="42"/>
      <c r="AA411" s="42"/>
      <c r="AB411" s="42"/>
      <c r="AC411" s="42"/>
      <c r="AD411" s="42"/>
      <c r="AE411" s="42"/>
      <c r="AF411" s="42"/>
      <c r="AG411" s="42"/>
      <c r="AH411" s="42"/>
      <c r="AI411" s="42"/>
      <c r="AJ411" s="42"/>
    </row>
    <row r="412" spans="1:36" ht="15.75">
      <c r="A412" s="797"/>
      <c r="B412" s="339"/>
      <c r="C412" s="42"/>
      <c r="D412" s="282"/>
      <c r="E412" s="42"/>
      <c r="F412" s="42"/>
      <c r="G412" s="42"/>
      <c r="H412" s="42"/>
      <c r="I412" s="42"/>
      <c r="J412" s="42"/>
      <c r="K412" s="42"/>
      <c r="L412" s="42"/>
      <c r="M412" s="42"/>
      <c r="N412" s="282"/>
      <c r="O412" s="42"/>
      <c r="P412" s="42"/>
      <c r="Q412" s="42"/>
      <c r="R412" s="42"/>
      <c r="S412" s="42"/>
      <c r="T412" s="42"/>
      <c r="U412" s="42"/>
      <c r="V412" s="42"/>
      <c r="W412" s="42"/>
      <c r="X412" s="42"/>
      <c r="Y412" s="42"/>
      <c r="Z412" s="42"/>
      <c r="AA412" s="42"/>
      <c r="AB412" s="42"/>
      <c r="AC412" s="42"/>
      <c r="AD412" s="42"/>
      <c r="AE412" s="42"/>
      <c r="AF412" s="42"/>
      <c r="AG412" s="42"/>
      <c r="AH412" s="42"/>
      <c r="AI412" s="42"/>
      <c r="AJ412" s="42"/>
    </row>
    <row r="413" spans="1:36" ht="15.75">
      <c r="A413" s="797"/>
      <c r="B413" s="339"/>
      <c r="C413" s="42"/>
      <c r="D413" s="282"/>
      <c r="E413" s="42"/>
      <c r="F413" s="42"/>
      <c r="G413" s="42"/>
      <c r="H413" s="42"/>
      <c r="I413" s="42"/>
      <c r="J413" s="42"/>
      <c r="K413" s="42"/>
      <c r="L413" s="42"/>
      <c r="M413" s="42"/>
      <c r="N413" s="282"/>
      <c r="O413" s="42"/>
      <c r="P413" s="42"/>
      <c r="Q413" s="42"/>
      <c r="R413" s="42"/>
      <c r="S413" s="42"/>
      <c r="T413" s="42"/>
      <c r="U413" s="42"/>
      <c r="V413" s="42"/>
      <c r="W413" s="42"/>
      <c r="X413" s="42"/>
      <c r="Y413" s="42"/>
      <c r="Z413" s="42"/>
      <c r="AA413" s="42"/>
      <c r="AB413" s="42"/>
      <c r="AC413" s="42"/>
      <c r="AD413" s="42"/>
      <c r="AE413" s="42"/>
      <c r="AF413" s="42"/>
      <c r="AG413" s="42"/>
      <c r="AH413" s="42"/>
      <c r="AI413" s="42"/>
      <c r="AJ413" s="42"/>
    </row>
    <row r="414" spans="1:36" ht="15.75">
      <c r="A414" s="797"/>
      <c r="B414" s="339"/>
      <c r="C414" s="42"/>
      <c r="D414" s="282"/>
      <c r="E414" s="42"/>
      <c r="F414" s="42"/>
      <c r="G414" s="42"/>
      <c r="H414" s="42"/>
      <c r="I414" s="42"/>
      <c r="J414" s="42"/>
      <c r="K414" s="42"/>
      <c r="L414" s="42"/>
      <c r="M414" s="42"/>
      <c r="N414" s="282"/>
      <c r="O414" s="42"/>
      <c r="P414" s="42"/>
      <c r="Q414" s="42"/>
      <c r="R414" s="42"/>
      <c r="S414" s="42"/>
      <c r="T414" s="42"/>
      <c r="U414" s="42"/>
      <c r="V414" s="42"/>
      <c r="W414" s="42"/>
      <c r="X414" s="42"/>
      <c r="Y414" s="42"/>
      <c r="Z414" s="42"/>
      <c r="AA414" s="42"/>
      <c r="AB414" s="42"/>
      <c r="AC414" s="42"/>
      <c r="AD414" s="42"/>
      <c r="AE414" s="42"/>
      <c r="AF414" s="42"/>
      <c r="AG414" s="42"/>
      <c r="AH414" s="42"/>
      <c r="AI414" s="42"/>
      <c r="AJ414" s="42"/>
    </row>
    <row r="415" spans="1:36" ht="15.75">
      <c r="A415" s="797"/>
      <c r="B415" s="339"/>
      <c r="C415" s="42"/>
      <c r="D415" s="282"/>
      <c r="E415" s="42"/>
      <c r="F415" s="42"/>
      <c r="G415" s="42"/>
      <c r="H415" s="42"/>
      <c r="I415" s="42"/>
      <c r="J415" s="42"/>
      <c r="K415" s="42"/>
      <c r="L415" s="42"/>
      <c r="M415" s="42"/>
      <c r="N415" s="282"/>
      <c r="O415" s="42"/>
      <c r="P415" s="42"/>
      <c r="Q415" s="42"/>
      <c r="R415" s="42"/>
      <c r="S415" s="42"/>
      <c r="T415" s="42"/>
      <c r="U415" s="42"/>
      <c r="V415" s="42"/>
      <c r="W415" s="42"/>
      <c r="X415" s="42"/>
      <c r="Y415" s="42"/>
      <c r="Z415" s="42"/>
      <c r="AA415" s="42"/>
      <c r="AB415" s="42"/>
      <c r="AC415" s="42"/>
      <c r="AD415" s="42"/>
      <c r="AE415" s="42"/>
      <c r="AF415" s="42"/>
      <c r="AG415" s="42"/>
      <c r="AH415" s="42"/>
      <c r="AI415" s="42"/>
      <c r="AJ415" s="42"/>
    </row>
    <row r="416" spans="1:36" ht="15.75">
      <c r="A416" s="797"/>
      <c r="B416" s="339"/>
      <c r="C416" s="42"/>
      <c r="D416" s="282"/>
      <c r="E416" s="42"/>
      <c r="F416" s="42"/>
      <c r="G416" s="42"/>
      <c r="H416" s="42"/>
      <c r="I416" s="42"/>
      <c r="J416" s="42"/>
      <c r="K416" s="42"/>
      <c r="L416" s="42"/>
      <c r="M416" s="42"/>
      <c r="N416" s="282"/>
      <c r="O416" s="42"/>
      <c r="P416" s="42"/>
      <c r="Q416" s="42"/>
      <c r="R416" s="42"/>
      <c r="S416" s="42"/>
      <c r="T416" s="42"/>
      <c r="U416" s="42"/>
      <c r="V416" s="42"/>
      <c r="W416" s="42"/>
      <c r="X416" s="42"/>
      <c r="Y416" s="42"/>
      <c r="Z416" s="42"/>
      <c r="AA416" s="42"/>
      <c r="AB416" s="42"/>
      <c r="AC416" s="42"/>
      <c r="AD416" s="42"/>
      <c r="AE416" s="42"/>
      <c r="AF416" s="42"/>
      <c r="AG416" s="42"/>
      <c r="AH416" s="42"/>
      <c r="AI416" s="42"/>
      <c r="AJ416" s="42"/>
    </row>
    <row r="417" spans="1:36" ht="15.75">
      <c r="A417" s="797"/>
      <c r="B417" s="339"/>
      <c r="C417" s="42"/>
      <c r="D417" s="282"/>
      <c r="E417" s="42"/>
      <c r="F417" s="42"/>
      <c r="G417" s="42"/>
      <c r="H417" s="42"/>
      <c r="I417" s="42"/>
      <c r="J417" s="42"/>
      <c r="K417" s="42"/>
      <c r="L417" s="42"/>
      <c r="M417" s="42"/>
      <c r="N417" s="282"/>
      <c r="O417" s="42"/>
      <c r="P417" s="42"/>
      <c r="Q417" s="42"/>
      <c r="R417" s="42"/>
      <c r="S417" s="42"/>
      <c r="T417" s="42"/>
      <c r="U417" s="42"/>
      <c r="V417" s="42"/>
      <c r="W417" s="42"/>
      <c r="X417" s="42"/>
      <c r="Y417" s="42"/>
      <c r="Z417" s="42"/>
      <c r="AA417" s="42"/>
      <c r="AB417" s="42"/>
      <c r="AC417" s="42"/>
      <c r="AD417" s="42"/>
      <c r="AE417" s="42"/>
      <c r="AF417" s="42"/>
      <c r="AG417" s="42"/>
      <c r="AH417" s="42"/>
      <c r="AI417" s="42"/>
      <c r="AJ417" s="42"/>
    </row>
    <row r="418" spans="1:36" ht="15.75">
      <c r="A418" s="797"/>
      <c r="B418" s="339"/>
      <c r="C418" s="42"/>
      <c r="D418" s="282"/>
      <c r="E418" s="42"/>
      <c r="F418" s="42"/>
      <c r="G418" s="42"/>
      <c r="H418" s="42"/>
      <c r="I418" s="42"/>
      <c r="J418" s="42"/>
      <c r="K418" s="42"/>
      <c r="L418" s="42"/>
      <c r="M418" s="42"/>
      <c r="N418" s="282"/>
      <c r="O418" s="42"/>
      <c r="P418" s="42"/>
      <c r="Q418" s="42"/>
      <c r="R418" s="42"/>
      <c r="S418" s="42"/>
      <c r="T418" s="42"/>
      <c r="U418" s="42"/>
      <c r="V418" s="42"/>
      <c r="W418" s="42"/>
      <c r="X418" s="42"/>
      <c r="Y418" s="42"/>
      <c r="Z418" s="42"/>
      <c r="AA418" s="42"/>
      <c r="AB418" s="42"/>
      <c r="AC418" s="42"/>
      <c r="AD418" s="42"/>
      <c r="AE418" s="42"/>
      <c r="AF418" s="42"/>
      <c r="AG418" s="42"/>
      <c r="AH418" s="42"/>
      <c r="AI418" s="42"/>
      <c r="AJ418" s="42"/>
    </row>
    <row r="419" spans="1:36" ht="15.75">
      <c r="A419" s="797"/>
      <c r="B419" s="339"/>
      <c r="C419" s="42"/>
      <c r="D419" s="282"/>
      <c r="E419" s="42"/>
      <c r="F419" s="42"/>
      <c r="G419" s="42"/>
      <c r="H419" s="42"/>
      <c r="I419" s="42"/>
      <c r="J419" s="42"/>
      <c r="K419" s="42"/>
      <c r="L419" s="42"/>
      <c r="M419" s="42"/>
      <c r="N419" s="282"/>
      <c r="O419" s="42"/>
      <c r="P419" s="42"/>
      <c r="Q419" s="42"/>
      <c r="R419" s="42"/>
      <c r="S419" s="42"/>
      <c r="T419" s="42"/>
      <c r="U419" s="42"/>
      <c r="V419" s="42"/>
      <c r="W419" s="42"/>
      <c r="X419" s="42"/>
      <c r="Y419" s="42"/>
      <c r="Z419" s="42"/>
      <c r="AA419" s="42"/>
      <c r="AB419" s="42"/>
      <c r="AC419" s="42"/>
      <c r="AD419" s="42"/>
      <c r="AE419" s="42"/>
      <c r="AF419" s="42"/>
      <c r="AG419" s="42"/>
      <c r="AH419" s="42"/>
      <c r="AI419" s="42"/>
      <c r="AJ419" s="42"/>
    </row>
    <row r="420" spans="1:36" ht="15.75">
      <c r="A420" s="797"/>
      <c r="B420" s="339"/>
      <c r="C420" s="42"/>
      <c r="D420" s="282"/>
      <c r="E420" s="42"/>
      <c r="F420" s="42"/>
      <c r="G420" s="42"/>
      <c r="H420" s="42"/>
      <c r="I420" s="42"/>
      <c r="J420" s="42"/>
      <c r="K420" s="42"/>
      <c r="L420" s="42"/>
      <c r="M420" s="42"/>
      <c r="N420" s="282"/>
      <c r="O420" s="42"/>
      <c r="P420" s="42"/>
      <c r="Q420" s="42"/>
      <c r="R420" s="42"/>
      <c r="S420" s="42"/>
      <c r="T420" s="42"/>
      <c r="U420" s="42"/>
      <c r="V420" s="42"/>
      <c r="W420" s="42"/>
      <c r="X420" s="42"/>
      <c r="Y420" s="42"/>
      <c r="Z420" s="42"/>
      <c r="AA420" s="42"/>
      <c r="AB420" s="42"/>
      <c r="AC420" s="42"/>
      <c r="AD420" s="42"/>
      <c r="AE420" s="42"/>
      <c r="AF420" s="42"/>
      <c r="AG420" s="42"/>
      <c r="AH420" s="42"/>
      <c r="AI420" s="42"/>
      <c r="AJ420" s="42"/>
    </row>
    <row r="421" spans="1:36" ht="15.75">
      <c r="A421" s="797"/>
      <c r="B421" s="339"/>
      <c r="C421" s="42"/>
      <c r="D421" s="282"/>
      <c r="E421" s="42"/>
      <c r="F421" s="42"/>
      <c r="G421" s="42"/>
      <c r="H421" s="42"/>
      <c r="I421" s="42"/>
      <c r="J421" s="42"/>
      <c r="K421" s="42"/>
      <c r="L421" s="42"/>
      <c r="M421" s="42"/>
      <c r="N421" s="282"/>
      <c r="O421" s="42"/>
      <c r="P421" s="42"/>
      <c r="Q421" s="42"/>
      <c r="R421" s="42"/>
      <c r="S421" s="42"/>
      <c r="T421" s="42"/>
      <c r="U421" s="42"/>
      <c r="V421" s="42"/>
      <c r="W421" s="42"/>
      <c r="X421" s="42"/>
      <c r="Y421" s="42"/>
      <c r="Z421" s="42"/>
      <c r="AA421" s="42"/>
      <c r="AB421" s="42"/>
      <c r="AC421" s="42"/>
      <c r="AD421" s="42"/>
      <c r="AE421" s="42"/>
      <c r="AF421" s="42"/>
      <c r="AG421" s="42"/>
      <c r="AH421" s="42"/>
      <c r="AI421" s="42"/>
      <c r="AJ421" s="42"/>
    </row>
    <row r="422" spans="1:36" ht="15.75">
      <c r="A422" s="797"/>
      <c r="B422" s="339"/>
      <c r="C422" s="42"/>
      <c r="D422" s="282"/>
      <c r="E422" s="42"/>
      <c r="F422" s="42"/>
      <c r="G422" s="42"/>
      <c r="H422" s="42"/>
      <c r="I422" s="42"/>
      <c r="J422" s="42"/>
      <c r="K422" s="42"/>
      <c r="L422" s="42"/>
      <c r="M422" s="42"/>
      <c r="N422" s="282"/>
      <c r="O422" s="42"/>
      <c r="P422" s="42"/>
      <c r="Q422" s="42"/>
      <c r="R422" s="42"/>
      <c r="S422" s="42"/>
      <c r="T422" s="42"/>
      <c r="U422" s="42"/>
      <c r="V422" s="42"/>
      <c r="W422" s="42"/>
      <c r="X422" s="42"/>
      <c r="Y422" s="42"/>
      <c r="Z422" s="42"/>
      <c r="AA422" s="42"/>
      <c r="AB422" s="42"/>
      <c r="AC422" s="42"/>
      <c r="AD422" s="42"/>
      <c r="AE422" s="42"/>
      <c r="AF422" s="42"/>
      <c r="AG422" s="42"/>
      <c r="AH422" s="42"/>
      <c r="AI422" s="42"/>
      <c r="AJ422" s="42"/>
    </row>
    <row r="423" spans="1:36" ht="15.75">
      <c r="A423" s="797"/>
      <c r="B423" s="339"/>
      <c r="C423" s="42"/>
      <c r="D423" s="282"/>
      <c r="E423" s="42"/>
      <c r="F423" s="42"/>
      <c r="G423" s="42"/>
      <c r="H423" s="42"/>
      <c r="I423" s="42"/>
      <c r="J423" s="42"/>
      <c r="K423" s="42"/>
      <c r="L423" s="42"/>
      <c r="M423" s="42"/>
      <c r="N423" s="282"/>
      <c r="O423" s="42"/>
      <c r="P423" s="42"/>
      <c r="Q423" s="42"/>
      <c r="R423" s="42"/>
      <c r="S423" s="42"/>
      <c r="T423" s="42"/>
      <c r="U423" s="42"/>
      <c r="V423" s="42"/>
      <c r="W423" s="42"/>
      <c r="X423" s="42"/>
      <c r="Y423" s="42"/>
      <c r="Z423" s="42"/>
      <c r="AA423" s="42"/>
      <c r="AB423" s="42"/>
      <c r="AC423" s="42"/>
      <c r="AD423" s="42"/>
      <c r="AE423" s="42"/>
      <c r="AF423" s="42"/>
      <c r="AG423" s="42"/>
      <c r="AH423" s="42"/>
      <c r="AI423" s="42"/>
      <c r="AJ423" s="42"/>
    </row>
    <row r="424" spans="1:36" ht="15.75">
      <c r="A424" s="797"/>
      <c r="B424" s="339"/>
      <c r="C424" s="42"/>
      <c r="D424" s="282"/>
      <c r="E424" s="42"/>
      <c r="F424" s="42"/>
      <c r="G424" s="42"/>
      <c r="H424" s="42"/>
      <c r="I424" s="42"/>
      <c r="J424" s="42"/>
      <c r="K424" s="42"/>
      <c r="L424" s="42"/>
      <c r="M424" s="42"/>
      <c r="N424" s="282"/>
      <c r="O424" s="42"/>
      <c r="P424" s="42"/>
      <c r="Q424" s="42"/>
      <c r="R424" s="42"/>
      <c r="S424" s="42"/>
      <c r="T424" s="42"/>
      <c r="U424" s="42"/>
      <c r="V424" s="42"/>
      <c r="W424" s="42"/>
      <c r="X424" s="42"/>
      <c r="Y424" s="42"/>
      <c r="Z424" s="42"/>
      <c r="AA424" s="42"/>
      <c r="AB424" s="42"/>
      <c r="AC424" s="42"/>
      <c r="AD424" s="42"/>
      <c r="AE424" s="42"/>
      <c r="AF424" s="42"/>
      <c r="AG424" s="42"/>
      <c r="AH424" s="42"/>
      <c r="AI424" s="42"/>
      <c r="AJ424" s="42"/>
    </row>
    <row r="425" spans="1:36" ht="15.75">
      <c r="A425" s="797"/>
      <c r="B425" s="339"/>
      <c r="C425" s="42"/>
      <c r="D425" s="282"/>
      <c r="E425" s="42"/>
      <c r="F425" s="42"/>
      <c r="G425" s="42"/>
      <c r="H425" s="42"/>
      <c r="I425" s="42"/>
      <c r="J425" s="42"/>
      <c r="K425" s="42"/>
      <c r="L425" s="42"/>
      <c r="M425" s="42"/>
      <c r="N425" s="282"/>
      <c r="O425" s="42"/>
      <c r="P425" s="42"/>
      <c r="Q425" s="42"/>
      <c r="R425" s="42"/>
      <c r="S425" s="42"/>
      <c r="T425" s="42"/>
      <c r="U425" s="42"/>
      <c r="V425" s="42"/>
      <c r="W425" s="42"/>
      <c r="X425" s="42"/>
      <c r="Y425" s="42"/>
      <c r="Z425" s="42"/>
      <c r="AA425" s="42"/>
      <c r="AB425" s="42"/>
      <c r="AC425" s="42"/>
      <c r="AD425" s="42"/>
      <c r="AE425" s="42"/>
      <c r="AF425" s="42"/>
      <c r="AG425" s="42"/>
      <c r="AH425" s="42"/>
      <c r="AI425" s="42"/>
      <c r="AJ425" s="42"/>
    </row>
    <row r="426" spans="1:36" ht="15.75">
      <c r="A426" s="797"/>
      <c r="B426" s="339"/>
      <c r="C426" s="42"/>
      <c r="D426" s="282"/>
      <c r="E426" s="42"/>
      <c r="F426" s="42"/>
      <c r="G426" s="42"/>
      <c r="H426" s="42"/>
      <c r="I426" s="42"/>
      <c r="J426" s="42"/>
      <c r="K426" s="42"/>
      <c r="L426" s="42"/>
      <c r="M426" s="42"/>
      <c r="N426" s="282"/>
      <c r="O426" s="42"/>
      <c r="P426" s="42"/>
      <c r="Q426" s="42"/>
      <c r="R426" s="42"/>
      <c r="S426" s="42"/>
      <c r="T426" s="42"/>
      <c r="U426" s="42"/>
      <c r="V426" s="42"/>
      <c r="W426" s="42"/>
      <c r="X426" s="42"/>
      <c r="Y426" s="42"/>
      <c r="Z426" s="42"/>
      <c r="AA426" s="42"/>
      <c r="AB426" s="42"/>
      <c r="AC426" s="42"/>
      <c r="AD426" s="42"/>
      <c r="AE426" s="42"/>
      <c r="AF426" s="42"/>
      <c r="AG426" s="42"/>
      <c r="AH426" s="42"/>
      <c r="AI426" s="42"/>
      <c r="AJ426" s="42"/>
    </row>
    <row r="427" spans="1:36" ht="15.75">
      <c r="A427" s="797"/>
      <c r="B427" s="339"/>
      <c r="C427" s="42"/>
      <c r="D427" s="282"/>
      <c r="E427" s="42"/>
      <c r="F427" s="42"/>
      <c r="G427" s="42"/>
      <c r="H427" s="42"/>
      <c r="I427" s="42"/>
      <c r="J427" s="42"/>
      <c r="K427" s="42"/>
      <c r="L427" s="42"/>
      <c r="M427" s="42"/>
      <c r="N427" s="282"/>
      <c r="O427" s="42"/>
      <c r="P427" s="42"/>
      <c r="Q427" s="42"/>
      <c r="R427" s="42"/>
      <c r="S427" s="42"/>
      <c r="T427" s="42"/>
      <c r="U427" s="42"/>
      <c r="V427" s="42"/>
      <c r="W427" s="42"/>
      <c r="X427" s="42"/>
      <c r="Y427" s="42"/>
      <c r="Z427" s="42"/>
      <c r="AA427" s="42"/>
      <c r="AB427" s="42"/>
      <c r="AC427" s="42"/>
      <c r="AD427" s="42"/>
      <c r="AE427" s="42"/>
      <c r="AF427" s="42"/>
      <c r="AG427" s="42"/>
      <c r="AH427" s="42"/>
      <c r="AI427" s="42"/>
      <c r="AJ427" s="42"/>
    </row>
    <row r="428" spans="1:36" ht="15.75">
      <c r="A428" s="797"/>
      <c r="B428" s="339"/>
      <c r="C428" s="42"/>
      <c r="D428" s="282"/>
      <c r="E428" s="42"/>
      <c r="F428" s="42"/>
      <c r="G428" s="42"/>
      <c r="H428" s="42"/>
      <c r="I428" s="42"/>
      <c r="J428" s="42"/>
      <c r="K428" s="42"/>
      <c r="L428" s="42"/>
      <c r="M428" s="42"/>
      <c r="N428" s="282"/>
      <c r="O428" s="42"/>
      <c r="P428" s="42"/>
      <c r="Q428" s="42"/>
      <c r="R428" s="42"/>
      <c r="S428" s="42"/>
      <c r="T428" s="42"/>
      <c r="U428" s="42"/>
      <c r="V428" s="42"/>
      <c r="W428" s="42"/>
      <c r="X428" s="42"/>
      <c r="Y428" s="42"/>
      <c r="Z428" s="42"/>
      <c r="AA428" s="42"/>
      <c r="AB428" s="42"/>
      <c r="AC428" s="42"/>
      <c r="AD428" s="42"/>
      <c r="AE428" s="42"/>
      <c r="AF428" s="42"/>
      <c r="AG428" s="42"/>
      <c r="AH428" s="42"/>
      <c r="AI428" s="42"/>
      <c r="AJ428" s="42"/>
    </row>
    <row r="429" spans="1:36" ht="15.75">
      <c r="A429" s="797"/>
      <c r="B429" s="339"/>
      <c r="C429" s="42"/>
      <c r="D429" s="282"/>
      <c r="E429" s="42"/>
      <c r="F429" s="42"/>
      <c r="G429" s="42"/>
      <c r="H429" s="42"/>
      <c r="I429" s="42"/>
      <c r="J429" s="42"/>
      <c r="K429" s="42"/>
      <c r="L429" s="42"/>
      <c r="M429" s="42"/>
      <c r="N429" s="282"/>
      <c r="O429" s="42"/>
      <c r="P429" s="42"/>
      <c r="Q429" s="42"/>
      <c r="R429" s="42"/>
      <c r="S429" s="42"/>
      <c r="T429" s="42"/>
      <c r="U429" s="42"/>
      <c r="V429" s="42"/>
      <c r="W429" s="42"/>
      <c r="X429" s="42"/>
      <c r="Y429" s="42"/>
      <c r="Z429" s="42"/>
      <c r="AA429" s="42"/>
      <c r="AB429" s="42"/>
      <c r="AC429" s="42"/>
      <c r="AD429" s="42"/>
      <c r="AE429" s="42"/>
      <c r="AF429" s="42"/>
      <c r="AG429" s="42"/>
      <c r="AH429" s="42"/>
      <c r="AI429" s="42"/>
      <c r="AJ429" s="42"/>
    </row>
    <row r="430" spans="1:36" ht="15.75">
      <c r="A430" s="797"/>
      <c r="B430" s="339"/>
      <c r="C430" s="42"/>
      <c r="D430" s="282"/>
      <c r="E430" s="42"/>
      <c r="F430" s="42"/>
      <c r="G430" s="42"/>
      <c r="H430" s="42"/>
      <c r="I430" s="42"/>
      <c r="J430" s="42"/>
      <c r="K430" s="42"/>
      <c r="L430" s="42"/>
      <c r="M430" s="42"/>
      <c r="N430" s="282"/>
      <c r="O430" s="42"/>
      <c r="P430" s="42"/>
      <c r="Q430" s="42"/>
      <c r="R430" s="42"/>
      <c r="S430" s="42"/>
      <c r="T430" s="42"/>
      <c r="U430" s="42"/>
      <c r="V430" s="42"/>
      <c r="W430" s="42"/>
      <c r="X430" s="42"/>
      <c r="Y430" s="42"/>
      <c r="Z430" s="42"/>
      <c r="AA430" s="42"/>
      <c r="AB430" s="42"/>
      <c r="AC430" s="42"/>
      <c r="AD430" s="42"/>
      <c r="AE430" s="42"/>
      <c r="AF430" s="42"/>
      <c r="AG430" s="42"/>
      <c r="AH430" s="42"/>
      <c r="AI430" s="42"/>
      <c r="AJ430" s="42"/>
    </row>
    <row r="431" spans="1:36" ht="15.75">
      <c r="A431" s="797"/>
      <c r="B431" s="339"/>
      <c r="C431" s="42"/>
      <c r="D431" s="282"/>
      <c r="E431" s="42"/>
      <c r="F431" s="42"/>
      <c r="G431" s="42"/>
      <c r="H431" s="42"/>
      <c r="I431" s="42"/>
      <c r="J431" s="42"/>
      <c r="K431" s="42"/>
      <c r="L431" s="42"/>
      <c r="M431" s="42"/>
      <c r="N431" s="282"/>
      <c r="O431" s="42"/>
      <c r="P431" s="42"/>
      <c r="Q431" s="42"/>
      <c r="R431" s="42"/>
      <c r="S431" s="42"/>
      <c r="T431" s="42"/>
      <c r="U431" s="42"/>
      <c r="V431" s="42"/>
      <c r="W431" s="42"/>
      <c r="X431" s="42"/>
      <c r="Y431" s="42"/>
      <c r="Z431" s="42"/>
      <c r="AA431" s="42"/>
      <c r="AB431" s="42"/>
      <c r="AC431" s="42"/>
      <c r="AD431" s="42"/>
      <c r="AE431" s="42"/>
      <c r="AF431" s="42"/>
      <c r="AG431" s="42"/>
      <c r="AH431" s="42"/>
      <c r="AI431" s="42"/>
      <c r="AJ431" s="42"/>
    </row>
    <row r="432" spans="1:36" ht="15.75">
      <c r="A432" s="797"/>
      <c r="B432" s="339"/>
      <c r="C432" s="42"/>
      <c r="D432" s="282"/>
      <c r="E432" s="42"/>
      <c r="F432" s="42"/>
      <c r="G432" s="42"/>
      <c r="H432" s="42"/>
      <c r="I432" s="42"/>
      <c r="J432" s="42"/>
      <c r="K432" s="42"/>
      <c r="L432" s="42"/>
      <c r="M432" s="42"/>
      <c r="N432" s="282"/>
      <c r="O432" s="42"/>
      <c r="P432" s="42"/>
      <c r="Q432" s="42"/>
      <c r="R432" s="42"/>
      <c r="S432" s="42"/>
      <c r="T432" s="42"/>
      <c r="U432" s="42"/>
      <c r="V432" s="42"/>
      <c r="W432" s="42"/>
      <c r="X432" s="42"/>
      <c r="Y432" s="42"/>
      <c r="Z432" s="42"/>
      <c r="AA432" s="42"/>
      <c r="AB432" s="42"/>
      <c r="AC432" s="42"/>
      <c r="AD432" s="42"/>
      <c r="AE432" s="42"/>
      <c r="AF432" s="42"/>
      <c r="AG432" s="42"/>
      <c r="AH432" s="42"/>
      <c r="AI432" s="42"/>
      <c r="AJ432" s="42"/>
    </row>
    <row r="433" spans="1:36" ht="15.75">
      <c r="A433" s="797"/>
      <c r="B433" s="339"/>
      <c r="C433" s="42"/>
      <c r="D433" s="282"/>
      <c r="E433" s="42"/>
      <c r="F433" s="42"/>
      <c r="G433" s="42"/>
      <c r="H433" s="42"/>
      <c r="I433" s="42"/>
      <c r="J433" s="42"/>
      <c r="K433" s="42"/>
      <c r="L433" s="42"/>
      <c r="M433" s="42"/>
      <c r="N433" s="282"/>
      <c r="O433" s="42"/>
      <c r="P433" s="42"/>
      <c r="Q433" s="42"/>
      <c r="R433" s="42"/>
      <c r="S433" s="42"/>
      <c r="T433" s="42"/>
      <c r="U433" s="42"/>
      <c r="V433" s="42"/>
      <c r="W433" s="42"/>
      <c r="X433" s="42"/>
      <c r="Y433" s="42"/>
      <c r="Z433" s="42"/>
      <c r="AA433" s="42"/>
      <c r="AB433" s="42"/>
      <c r="AC433" s="42"/>
      <c r="AD433" s="42"/>
      <c r="AE433" s="42"/>
      <c r="AF433" s="42"/>
      <c r="AG433" s="42"/>
      <c r="AH433" s="42"/>
      <c r="AI433" s="42"/>
      <c r="AJ433" s="42"/>
    </row>
    <row r="434" spans="1:36" ht="15.75">
      <c r="A434" s="797"/>
      <c r="B434" s="339"/>
      <c r="C434" s="42"/>
      <c r="D434" s="282"/>
      <c r="E434" s="42"/>
      <c r="F434" s="42"/>
      <c r="G434" s="42"/>
      <c r="H434" s="42"/>
      <c r="I434" s="42"/>
      <c r="J434" s="42"/>
      <c r="K434" s="42"/>
      <c r="L434" s="42"/>
      <c r="M434" s="42"/>
      <c r="N434" s="282"/>
      <c r="O434" s="42"/>
      <c r="P434" s="42"/>
      <c r="Q434" s="42"/>
      <c r="R434" s="42"/>
      <c r="S434" s="42"/>
      <c r="T434" s="42"/>
      <c r="U434" s="42"/>
      <c r="V434" s="42"/>
      <c r="W434" s="42"/>
      <c r="X434" s="42"/>
      <c r="Y434" s="42"/>
      <c r="Z434" s="42"/>
      <c r="AA434" s="42"/>
      <c r="AB434" s="42"/>
      <c r="AC434" s="42"/>
      <c r="AD434" s="42"/>
      <c r="AE434" s="42"/>
      <c r="AF434" s="42"/>
      <c r="AG434" s="42"/>
      <c r="AH434" s="42"/>
      <c r="AI434" s="42"/>
      <c r="AJ434" s="42"/>
    </row>
    <row r="435" spans="1:36" ht="15.75">
      <c r="A435" s="797"/>
      <c r="B435" s="339"/>
      <c r="C435" s="42"/>
      <c r="D435" s="282"/>
      <c r="E435" s="42"/>
      <c r="F435" s="42"/>
      <c r="G435" s="42"/>
      <c r="H435" s="42"/>
      <c r="I435" s="42"/>
      <c r="J435" s="42"/>
      <c r="K435" s="42"/>
      <c r="L435" s="42"/>
      <c r="M435" s="42"/>
      <c r="N435" s="282"/>
      <c r="O435" s="42"/>
      <c r="P435" s="42"/>
      <c r="Q435" s="42"/>
      <c r="R435" s="42"/>
      <c r="S435" s="42"/>
      <c r="T435" s="42"/>
      <c r="U435" s="42"/>
      <c r="V435" s="42"/>
      <c r="W435" s="42"/>
      <c r="X435" s="42"/>
      <c r="Y435" s="42"/>
      <c r="Z435" s="42"/>
      <c r="AA435" s="42"/>
      <c r="AB435" s="42"/>
      <c r="AC435" s="42"/>
      <c r="AD435" s="42"/>
      <c r="AE435" s="42"/>
      <c r="AF435" s="42"/>
      <c r="AG435" s="42"/>
      <c r="AH435" s="42"/>
      <c r="AI435" s="42"/>
      <c r="AJ435" s="42"/>
    </row>
    <row r="436" spans="1:36" ht="15.75">
      <c r="A436" s="797"/>
      <c r="B436" s="339"/>
      <c r="C436" s="42"/>
      <c r="D436" s="282"/>
      <c r="E436" s="42"/>
      <c r="F436" s="42"/>
      <c r="G436" s="42"/>
      <c r="H436" s="42"/>
      <c r="I436" s="42"/>
      <c r="J436" s="42"/>
      <c r="K436" s="42"/>
      <c r="L436" s="42"/>
      <c r="M436" s="42"/>
      <c r="N436" s="282"/>
      <c r="O436" s="42"/>
      <c r="P436" s="42"/>
      <c r="Q436" s="42"/>
      <c r="R436" s="42"/>
      <c r="S436" s="42"/>
      <c r="T436" s="42"/>
      <c r="U436" s="42"/>
      <c r="V436" s="42"/>
      <c r="W436" s="42"/>
      <c r="X436" s="42"/>
      <c r="Y436" s="42"/>
      <c r="Z436" s="42"/>
      <c r="AA436" s="42"/>
      <c r="AB436" s="42"/>
      <c r="AC436" s="42"/>
      <c r="AD436" s="42"/>
      <c r="AE436" s="42"/>
      <c r="AF436" s="42"/>
      <c r="AG436" s="42"/>
      <c r="AH436" s="42"/>
      <c r="AI436" s="42"/>
      <c r="AJ436" s="42"/>
    </row>
    <row r="437" spans="1:36" ht="15.75">
      <c r="A437" s="797"/>
      <c r="B437" s="339"/>
      <c r="C437" s="42"/>
      <c r="D437" s="282"/>
      <c r="E437" s="42"/>
      <c r="F437" s="42"/>
      <c r="G437" s="42"/>
      <c r="H437" s="42"/>
      <c r="I437" s="42"/>
      <c r="J437" s="42"/>
      <c r="K437" s="42"/>
      <c r="L437" s="42"/>
      <c r="M437" s="42"/>
      <c r="N437" s="282"/>
      <c r="O437" s="42"/>
      <c r="P437" s="42"/>
      <c r="Q437" s="42"/>
      <c r="R437" s="42"/>
      <c r="S437" s="42"/>
      <c r="T437" s="42"/>
      <c r="U437" s="42"/>
      <c r="V437" s="42"/>
      <c r="W437" s="42"/>
      <c r="X437" s="42"/>
      <c r="Y437" s="42"/>
      <c r="Z437" s="42"/>
      <c r="AA437" s="42"/>
      <c r="AB437" s="42"/>
      <c r="AC437" s="42"/>
      <c r="AD437" s="42"/>
      <c r="AE437" s="42"/>
      <c r="AF437" s="42"/>
      <c r="AG437" s="42"/>
      <c r="AH437" s="42"/>
      <c r="AI437" s="42"/>
      <c r="AJ437" s="42"/>
    </row>
    <row r="438" spans="1:36" ht="15.75">
      <c r="A438" s="797"/>
      <c r="B438" s="339"/>
      <c r="C438" s="42"/>
      <c r="D438" s="282"/>
      <c r="E438" s="42"/>
      <c r="F438" s="42"/>
      <c r="G438" s="42"/>
      <c r="H438" s="42"/>
      <c r="I438" s="42"/>
      <c r="J438" s="42"/>
      <c r="K438" s="42"/>
      <c r="L438" s="42"/>
      <c r="M438" s="42"/>
      <c r="N438" s="282"/>
      <c r="O438" s="42"/>
      <c r="P438" s="42"/>
      <c r="Q438" s="42"/>
      <c r="R438" s="42"/>
      <c r="S438" s="42"/>
      <c r="T438" s="42"/>
      <c r="U438" s="42"/>
      <c r="V438" s="42"/>
      <c r="W438" s="42"/>
      <c r="X438" s="42"/>
      <c r="Y438" s="42"/>
      <c r="Z438" s="42"/>
      <c r="AA438" s="42"/>
      <c r="AB438" s="42"/>
      <c r="AC438" s="42"/>
      <c r="AD438" s="42"/>
      <c r="AE438" s="42"/>
      <c r="AF438" s="42"/>
      <c r="AG438" s="42"/>
      <c r="AH438" s="42"/>
      <c r="AI438" s="42"/>
      <c r="AJ438" s="42"/>
    </row>
    <row r="439" spans="1:36" ht="15.75">
      <c r="A439" s="797"/>
      <c r="B439" s="339"/>
      <c r="C439" s="42"/>
      <c r="D439" s="282"/>
      <c r="E439" s="42"/>
      <c r="F439" s="42"/>
      <c r="G439" s="42"/>
      <c r="H439" s="42"/>
      <c r="I439" s="42"/>
      <c r="J439" s="42"/>
      <c r="K439" s="42"/>
      <c r="L439" s="42"/>
      <c r="M439" s="42"/>
      <c r="N439" s="282"/>
      <c r="O439" s="42"/>
      <c r="P439" s="42"/>
      <c r="Q439" s="42"/>
      <c r="R439" s="42"/>
      <c r="S439" s="42"/>
      <c r="T439" s="42"/>
      <c r="U439" s="42"/>
      <c r="V439" s="42"/>
      <c r="W439" s="42"/>
      <c r="X439" s="42"/>
      <c r="Y439" s="42"/>
      <c r="Z439" s="42"/>
      <c r="AA439" s="42"/>
      <c r="AB439" s="42"/>
      <c r="AC439" s="42"/>
      <c r="AD439" s="42"/>
      <c r="AE439" s="42"/>
      <c r="AF439" s="42"/>
      <c r="AG439" s="42"/>
      <c r="AH439" s="42"/>
      <c r="AI439" s="42"/>
      <c r="AJ439" s="42"/>
    </row>
    <row r="440" spans="1:36" ht="15.75">
      <c r="A440" s="797"/>
      <c r="B440" s="339"/>
      <c r="C440" s="42"/>
      <c r="D440" s="282"/>
      <c r="E440" s="42"/>
      <c r="F440" s="42"/>
      <c r="G440" s="42"/>
      <c r="H440" s="42"/>
      <c r="I440" s="42"/>
      <c r="J440" s="42"/>
      <c r="K440" s="42"/>
      <c r="L440" s="42"/>
      <c r="M440" s="42"/>
      <c r="N440" s="282"/>
      <c r="O440" s="42"/>
      <c r="P440" s="42"/>
      <c r="Q440" s="42"/>
      <c r="R440" s="42"/>
      <c r="S440" s="42"/>
      <c r="T440" s="42"/>
      <c r="U440" s="42"/>
      <c r="V440" s="42"/>
      <c r="W440" s="42"/>
      <c r="X440" s="42"/>
      <c r="Y440" s="42"/>
      <c r="Z440" s="42"/>
      <c r="AA440" s="42"/>
      <c r="AB440" s="42"/>
      <c r="AC440" s="42"/>
      <c r="AD440" s="42"/>
      <c r="AE440" s="42"/>
      <c r="AF440" s="42"/>
      <c r="AG440" s="42"/>
      <c r="AH440" s="42"/>
      <c r="AI440" s="42"/>
      <c r="AJ440" s="42"/>
    </row>
    <row r="441" spans="1:36" ht="15.75">
      <c r="A441" s="797"/>
      <c r="B441" s="339"/>
      <c r="C441" s="42"/>
      <c r="D441" s="282"/>
      <c r="E441" s="42"/>
      <c r="F441" s="42"/>
      <c r="G441" s="42"/>
      <c r="H441" s="42"/>
      <c r="I441" s="42"/>
      <c r="J441" s="42"/>
      <c r="K441" s="42"/>
      <c r="L441" s="42"/>
      <c r="M441" s="42"/>
      <c r="N441" s="282"/>
      <c r="O441" s="42"/>
      <c r="P441" s="42"/>
      <c r="Q441" s="42"/>
      <c r="R441" s="42"/>
      <c r="S441" s="42"/>
      <c r="T441" s="42"/>
      <c r="U441" s="42"/>
      <c r="V441" s="42"/>
      <c r="W441" s="42"/>
      <c r="X441" s="42"/>
      <c r="Y441" s="42"/>
      <c r="Z441" s="42"/>
      <c r="AA441" s="42"/>
      <c r="AB441" s="42"/>
      <c r="AC441" s="42"/>
      <c r="AD441" s="42"/>
      <c r="AE441" s="42"/>
      <c r="AF441" s="42"/>
      <c r="AG441" s="42"/>
      <c r="AH441" s="42"/>
      <c r="AI441" s="42"/>
      <c r="AJ441" s="42"/>
    </row>
    <row r="442" spans="1:36" ht="15.75">
      <c r="A442" s="797"/>
      <c r="B442" s="339"/>
      <c r="C442" s="42"/>
      <c r="D442" s="282"/>
      <c r="E442" s="42"/>
      <c r="F442" s="42"/>
      <c r="G442" s="42"/>
      <c r="H442" s="42"/>
      <c r="I442" s="42"/>
      <c r="J442" s="42"/>
      <c r="K442" s="42"/>
      <c r="L442" s="42"/>
      <c r="M442" s="42"/>
      <c r="N442" s="282"/>
      <c r="O442" s="42"/>
      <c r="P442" s="42"/>
      <c r="Q442" s="42"/>
      <c r="R442" s="42"/>
      <c r="S442" s="42"/>
      <c r="T442" s="42"/>
      <c r="U442" s="42"/>
      <c r="V442" s="42"/>
      <c r="W442" s="42"/>
      <c r="X442" s="42"/>
      <c r="Y442" s="42"/>
      <c r="Z442" s="42"/>
      <c r="AA442" s="42"/>
      <c r="AB442" s="42"/>
      <c r="AC442" s="42"/>
      <c r="AD442" s="42"/>
      <c r="AE442" s="42"/>
      <c r="AF442" s="42"/>
      <c r="AG442" s="42"/>
      <c r="AH442" s="42"/>
      <c r="AI442" s="42"/>
      <c r="AJ442" s="42"/>
    </row>
    <row r="443" spans="1:36" ht="15.75">
      <c r="A443" s="797"/>
      <c r="B443" s="339"/>
      <c r="C443" s="42"/>
      <c r="D443" s="282"/>
      <c r="E443" s="42"/>
      <c r="F443" s="42"/>
      <c r="G443" s="42"/>
      <c r="H443" s="42"/>
      <c r="I443" s="42"/>
      <c r="J443" s="42"/>
      <c r="K443" s="42"/>
      <c r="L443" s="42"/>
      <c r="M443" s="42"/>
      <c r="N443" s="282"/>
      <c r="O443" s="42"/>
      <c r="P443" s="42"/>
      <c r="Q443" s="42"/>
      <c r="R443" s="42"/>
      <c r="S443" s="42"/>
      <c r="T443" s="42"/>
      <c r="U443" s="42"/>
      <c r="V443" s="42"/>
      <c r="W443" s="42"/>
      <c r="X443" s="42"/>
      <c r="Y443" s="42"/>
      <c r="Z443" s="42"/>
      <c r="AA443" s="42"/>
      <c r="AB443" s="42"/>
      <c r="AC443" s="42"/>
      <c r="AD443" s="42"/>
      <c r="AE443" s="42"/>
      <c r="AF443" s="42"/>
      <c r="AG443" s="42"/>
      <c r="AH443" s="42"/>
      <c r="AI443" s="42"/>
      <c r="AJ443" s="42"/>
    </row>
    <row r="444" spans="1:36" ht="15.75">
      <c r="A444" s="797"/>
      <c r="B444" s="339"/>
      <c r="C444" s="42"/>
      <c r="D444" s="282"/>
      <c r="E444" s="42"/>
      <c r="F444" s="42"/>
      <c r="G444" s="42"/>
      <c r="H444" s="42"/>
      <c r="I444" s="42"/>
      <c r="J444" s="42"/>
      <c r="K444" s="42"/>
      <c r="L444" s="42"/>
      <c r="M444" s="42"/>
      <c r="N444" s="282"/>
      <c r="O444" s="42"/>
      <c r="P444" s="42"/>
      <c r="Q444" s="42"/>
      <c r="R444" s="42"/>
      <c r="S444" s="42"/>
      <c r="T444" s="42"/>
      <c r="U444" s="42"/>
      <c r="V444" s="42"/>
      <c r="W444" s="42"/>
      <c r="X444" s="42"/>
      <c r="Y444" s="42"/>
      <c r="Z444" s="42"/>
      <c r="AA444" s="42"/>
      <c r="AB444" s="42"/>
      <c r="AC444" s="42"/>
      <c r="AD444" s="42"/>
      <c r="AE444" s="42"/>
      <c r="AF444" s="42"/>
      <c r="AG444" s="42"/>
      <c r="AH444" s="42"/>
      <c r="AI444" s="42"/>
      <c r="AJ444" s="42"/>
    </row>
    <row r="445" spans="1:36" ht="15.75">
      <c r="A445" s="797"/>
      <c r="B445" s="339"/>
      <c r="C445" s="42"/>
      <c r="D445" s="282"/>
      <c r="E445" s="42"/>
      <c r="F445" s="42"/>
      <c r="G445" s="42"/>
      <c r="H445" s="42"/>
      <c r="I445" s="42"/>
      <c r="J445" s="42"/>
      <c r="K445" s="42"/>
      <c r="L445" s="42"/>
      <c r="M445" s="42"/>
      <c r="N445" s="282"/>
      <c r="O445" s="42"/>
      <c r="P445" s="42"/>
      <c r="Q445" s="42"/>
      <c r="R445" s="42"/>
      <c r="S445" s="42"/>
      <c r="T445" s="42"/>
      <c r="U445" s="42"/>
      <c r="V445" s="42"/>
      <c r="W445" s="42"/>
      <c r="X445" s="42"/>
      <c r="Y445" s="42"/>
      <c r="Z445" s="42"/>
      <c r="AA445" s="42"/>
      <c r="AB445" s="42"/>
      <c r="AC445" s="42"/>
      <c r="AD445" s="42"/>
      <c r="AE445" s="42"/>
      <c r="AF445" s="42"/>
      <c r="AG445" s="42"/>
      <c r="AH445" s="42"/>
      <c r="AI445" s="42"/>
      <c r="AJ445" s="42"/>
    </row>
    <row r="446" spans="1:36" ht="15.75">
      <c r="A446" s="797"/>
      <c r="B446" s="339"/>
      <c r="C446" s="42"/>
      <c r="D446" s="282"/>
      <c r="E446" s="42"/>
      <c r="F446" s="42"/>
      <c r="G446" s="42"/>
      <c r="H446" s="42"/>
      <c r="I446" s="42"/>
      <c r="J446" s="42"/>
      <c r="K446" s="42"/>
      <c r="L446" s="42"/>
      <c r="M446" s="42"/>
      <c r="N446" s="282"/>
      <c r="O446" s="42"/>
      <c r="P446" s="42"/>
      <c r="Q446" s="42"/>
      <c r="R446" s="42"/>
      <c r="S446" s="42"/>
      <c r="T446" s="42"/>
      <c r="U446" s="42"/>
      <c r="V446" s="42"/>
      <c r="W446" s="42"/>
      <c r="X446" s="42"/>
      <c r="Y446" s="42"/>
      <c r="Z446" s="42"/>
      <c r="AA446" s="42"/>
      <c r="AB446" s="42"/>
      <c r="AC446" s="42"/>
      <c r="AD446" s="42"/>
      <c r="AE446" s="42"/>
      <c r="AF446" s="42"/>
      <c r="AG446" s="42"/>
      <c r="AH446" s="42"/>
      <c r="AI446" s="42"/>
      <c r="AJ446" s="42"/>
    </row>
    <row r="447" spans="1:36" ht="15.75">
      <c r="A447" s="797"/>
      <c r="B447" s="339"/>
      <c r="C447" s="42"/>
      <c r="D447" s="282"/>
      <c r="E447" s="42"/>
      <c r="F447" s="42"/>
      <c r="G447" s="42"/>
      <c r="H447" s="42"/>
      <c r="I447" s="42"/>
      <c r="J447" s="42"/>
      <c r="K447" s="42"/>
      <c r="L447" s="42"/>
      <c r="M447" s="42"/>
      <c r="N447" s="282"/>
      <c r="O447" s="42"/>
      <c r="P447" s="42"/>
      <c r="Q447" s="42"/>
      <c r="R447" s="42"/>
      <c r="S447" s="42"/>
      <c r="T447" s="42"/>
      <c r="U447" s="42"/>
      <c r="V447" s="42"/>
      <c r="W447" s="42"/>
      <c r="X447" s="42"/>
      <c r="Y447" s="42"/>
      <c r="Z447" s="42"/>
      <c r="AA447" s="42"/>
      <c r="AB447" s="42"/>
      <c r="AC447" s="42"/>
      <c r="AD447" s="42"/>
      <c r="AE447" s="42"/>
      <c r="AF447" s="42"/>
      <c r="AG447" s="42"/>
      <c r="AH447" s="42"/>
      <c r="AI447" s="42"/>
      <c r="AJ447" s="42"/>
    </row>
    <row r="448" spans="1:36" ht="15.75">
      <c r="A448" s="797"/>
      <c r="B448" s="339"/>
      <c r="C448" s="42"/>
      <c r="D448" s="282"/>
      <c r="E448" s="42"/>
      <c r="F448" s="42"/>
      <c r="G448" s="42"/>
      <c r="H448" s="42"/>
      <c r="I448" s="42"/>
      <c r="J448" s="42"/>
      <c r="K448" s="42"/>
      <c r="L448" s="42"/>
      <c r="M448" s="42"/>
      <c r="N448" s="282"/>
      <c r="O448" s="42"/>
      <c r="P448" s="42"/>
      <c r="Q448" s="42"/>
      <c r="R448" s="42"/>
      <c r="S448" s="42"/>
      <c r="T448" s="42"/>
      <c r="U448" s="42"/>
      <c r="V448" s="42"/>
      <c r="W448" s="42"/>
      <c r="X448" s="42"/>
      <c r="Y448" s="42"/>
      <c r="Z448" s="42"/>
      <c r="AA448" s="42"/>
      <c r="AB448" s="42"/>
      <c r="AC448" s="42"/>
      <c r="AD448" s="42"/>
      <c r="AE448" s="42"/>
      <c r="AF448" s="42"/>
      <c r="AG448" s="42"/>
      <c r="AH448" s="42"/>
      <c r="AI448" s="42"/>
      <c r="AJ448" s="42"/>
    </row>
    <row r="449" spans="1:36" ht="15.75">
      <c r="A449" s="797"/>
      <c r="B449" s="339"/>
      <c r="C449" s="42"/>
      <c r="D449" s="282"/>
      <c r="E449" s="42"/>
      <c r="F449" s="42"/>
      <c r="G449" s="42"/>
      <c r="H449" s="42"/>
      <c r="I449" s="42"/>
      <c r="J449" s="42"/>
      <c r="K449" s="42"/>
      <c r="L449" s="42"/>
      <c r="M449" s="42"/>
      <c r="N449" s="282"/>
      <c r="O449" s="42"/>
      <c r="P449" s="42"/>
      <c r="Q449" s="42"/>
      <c r="R449" s="42"/>
      <c r="S449" s="42"/>
      <c r="T449" s="42"/>
      <c r="U449" s="42"/>
      <c r="V449" s="42"/>
      <c r="W449" s="42"/>
      <c r="X449" s="42"/>
      <c r="Y449" s="42"/>
      <c r="Z449" s="42"/>
      <c r="AA449" s="42"/>
      <c r="AB449" s="42"/>
      <c r="AC449" s="42"/>
      <c r="AD449" s="42"/>
      <c r="AE449" s="42"/>
      <c r="AF449" s="42"/>
      <c r="AG449" s="42"/>
      <c r="AH449" s="42"/>
      <c r="AI449" s="42"/>
      <c r="AJ449" s="42"/>
    </row>
    <row r="450" spans="1:36" ht="15.75">
      <c r="A450" s="797"/>
      <c r="B450" s="339"/>
      <c r="C450" s="42"/>
      <c r="D450" s="282"/>
      <c r="E450" s="42"/>
      <c r="F450" s="42"/>
      <c r="G450" s="42"/>
      <c r="H450" s="42"/>
      <c r="I450" s="42"/>
      <c r="J450" s="42"/>
      <c r="K450" s="42"/>
      <c r="L450" s="42"/>
      <c r="M450" s="42"/>
      <c r="N450" s="282"/>
      <c r="O450" s="42"/>
      <c r="P450" s="42"/>
      <c r="Q450" s="42"/>
      <c r="R450" s="42"/>
      <c r="S450" s="42"/>
      <c r="T450" s="42"/>
      <c r="U450" s="42"/>
      <c r="V450" s="42"/>
      <c r="W450" s="42"/>
      <c r="X450" s="42"/>
      <c r="Y450" s="42"/>
      <c r="Z450" s="42"/>
      <c r="AA450" s="42"/>
      <c r="AB450" s="42"/>
      <c r="AC450" s="42"/>
      <c r="AD450" s="42"/>
      <c r="AE450" s="42"/>
      <c r="AF450" s="42"/>
      <c r="AG450" s="42"/>
      <c r="AH450" s="42"/>
      <c r="AI450" s="42"/>
      <c r="AJ450" s="42"/>
    </row>
    <row r="451" spans="1:36" ht="15.75">
      <c r="A451" s="797"/>
      <c r="B451" s="339"/>
      <c r="C451" s="42"/>
      <c r="D451" s="282"/>
      <c r="E451" s="42"/>
      <c r="F451" s="42"/>
      <c r="G451" s="42"/>
      <c r="H451" s="42"/>
      <c r="I451" s="42"/>
      <c r="J451" s="42"/>
      <c r="K451" s="42"/>
      <c r="L451" s="42"/>
      <c r="M451" s="42"/>
      <c r="N451" s="282"/>
      <c r="O451" s="42"/>
      <c r="P451" s="42"/>
      <c r="Q451" s="42"/>
      <c r="R451" s="42"/>
      <c r="S451" s="42"/>
      <c r="T451" s="42"/>
      <c r="U451" s="42"/>
      <c r="V451" s="42"/>
      <c r="W451" s="42"/>
      <c r="X451" s="42"/>
      <c r="Y451" s="42"/>
      <c r="Z451" s="42"/>
      <c r="AA451" s="42"/>
      <c r="AB451" s="42"/>
      <c r="AC451" s="42"/>
      <c r="AD451" s="42"/>
      <c r="AE451" s="42"/>
      <c r="AF451" s="42"/>
      <c r="AG451" s="42"/>
      <c r="AH451" s="42"/>
      <c r="AI451" s="42"/>
      <c r="AJ451" s="42"/>
    </row>
    <row r="452" spans="1:36" ht="15.75">
      <c r="A452" s="797"/>
      <c r="B452" s="339"/>
      <c r="C452" s="42"/>
      <c r="D452" s="282"/>
      <c r="E452" s="42"/>
      <c r="F452" s="42"/>
      <c r="G452" s="42"/>
      <c r="H452" s="42"/>
      <c r="I452" s="42"/>
      <c r="J452" s="42"/>
      <c r="K452" s="42"/>
      <c r="L452" s="42"/>
      <c r="M452" s="42"/>
      <c r="N452" s="282"/>
      <c r="O452" s="42"/>
      <c r="P452" s="42"/>
      <c r="Q452" s="42"/>
      <c r="R452" s="42"/>
      <c r="S452" s="42"/>
      <c r="T452" s="42"/>
      <c r="U452" s="42"/>
      <c r="V452" s="42"/>
      <c r="W452" s="42"/>
      <c r="X452" s="42"/>
      <c r="Y452" s="42"/>
      <c r="Z452" s="42"/>
      <c r="AA452" s="42"/>
      <c r="AB452" s="42"/>
      <c r="AC452" s="42"/>
      <c r="AD452" s="42"/>
      <c r="AE452" s="42"/>
      <c r="AF452" s="42"/>
      <c r="AG452" s="42"/>
      <c r="AH452" s="42"/>
      <c r="AI452" s="42"/>
      <c r="AJ452" s="42"/>
    </row>
    <row r="453" spans="1:36" ht="15.75">
      <c r="A453" s="797"/>
      <c r="B453" s="339"/>
      <c r="C453" s="42"/>
      <c r="D453" s="282"/>
      <c r="E453" s="42"/>
      <c r="F453" s="42"/>
      <c r="G453" s="42"/>
      <c r="H453" s="42"/>
      <c r="I453" s="42"/>
      <c r="J453" s="42"/>
      <c r="K453" s="42"/>
      <c r="L453" s="42"/>
      <c r="M453" s="42"/>
      <c r="N453" s="282"/>
      <c r="O453" s="42"/>
      <c r="P453" s="42"/>
      <c r="Q453" s="42"/>
      <c r="R453" s="42"/>
      <c r="S453" s="42"/>
      <c r="T453" s="42"/>
      <c r="U453" s="42"/>
      <c r="V453" s="42"/>
      <c r="W453" s="42"/>
      <c r="X453" s="42"/>
      <c r="Y453" s="42"/>
      <c r="Z453" s="42"/>
      <c r="AA453" s="42"/>
      <c r="AB453" s="42"/>
      <c r="AC453" s="42"/>
      <c r="AD453" s="42"/>
      <c r="AE453" s="42"/>
      <c r="AF453" s="42"/>
      <c r="AG453" s="42"/>
      <c r="AH453" s="42"/>
      <c r="AI453" s="42"/>
      <c r="AJ453" s="42"/>
    </row>
    <row r="454" spans="1:36" ht="15.75">
      <c r="A454" s="797"/>
      <c r="B454" s="339"/>
      <c r="C454" s="42"/>
      <c r="D454" s="282"/>
      <c r="E454" s="42"/>
      <c r="F454" s="42"/>
      <c r="G454" s="42"/>
      <c r="H454" s="42"/>
      <c r="I454" s="42"/>
      <c r="J454" s="42"/>
      <c r="K454" s="42"/>
      <c r="L454" s="42"/>
      <c r="M454" s="42"/>
      <c r="N454" s="282"/>
      <c r="O454" s="42"/>
      <c r="P454" s="42"/>
      <c r="Q454" s="42"/>
      <c r="R454" s="42"/>
      <c r="S454" s="42"/>
      <c r="T454" s="42"/>
      <c r="U454" s="42"/>
      <c r="V454" s="42"/>
      <c r="W454" s="42"/>
      <c r="X454" s="42"/>
      <c r="Y454" s="42"/>
      <c r="Z454" s="42"/>
      <c r="AA454" s="42"/>
      <c r="AB454" s="42"/>
      <c r="AC454" s="42"/>
      <c r="AD454" s="42"/>
      <c r="AE454" s="42"/>
      <c r="AF454" s="42"/>
      <c r="AG454" s="42"/>
      <c r="AH454" s="42"/>
      <c r="AI454" s="42"/>
      <c r="AJ454" s="42"/>
    </row>
    <row r="455" spans="1:36" ht="15.75">
      <c r="A455" s="797"/>
      <c r="B455" s="339"/>
      <c r="C455" s="42"/>
      <c r="D455" s="282"/>
      <c r="E455" s="42"/>
      <c r="F455" s="42"/>
      <c r="G455" s="42"/>
      <c r="H455" s="42"/>
      <c r="I455" s="42"/>
      <c r="J455" s="42"/>
      <c r="K455" s="42"/>
      <c r="L455" s="42"/>
      <c r="M455" s="42"/>
      <c r="N455" s="282"/>
      <c r="O455" s="42"/>
      <c r="P455" s="42"/>
      <c r="Q455" s="42"/>
      <c r="R455" s="42"/>
      <c r="S455" s="42"/>
      <c r="T455" s="42"/>
      <c r="U455" s="42"/>
      <c r="V455" s="42"/>
      <c r="W455" s="42"/>
      <c r="X455" s="42"/>
      <c r="Y455" s="42"/>
      <c r="Z455" s="42"/>
      <c r="AA455" s="42"/>
      <c r="AB455" s="42"/>
      <c r="AC455" s="42"/>
      <c r="AD455" s="42"/>
      <c r="AE455" s="42"/>
      <c r="AF455" s="42"/>
      <c r="AG455" s="42"/>
      <c r="AH455" s="42"/>
      <c r="AI455" s="42"/>
      <c r="AJ455" s="42"/>
    </row>
    <row r="456" spans="1:36" ht="15.75">
      <c r="A456" s="797"/>
      <c r="B456" s="339"/>
      <c r="C456" s="42"/>
      <c r="D456" s="282"/>
      <c r="E456" s="42"/>
      <c r="F456" s="42"/>
      <c r="G456" s="42"/>
      <c r="H456" s="42"/>
      <c r="I456" s="42"/>
      <c r="J456" s="42"/>
      <c r="K456" s="42"/>
      <c r="L456" s="42"/>
      <c r="M456" s="42"/>
      <c r="N456" s="282"/>
      <c r="O456" s="42"/>
      <c r="P456" s="42"/>
      <c r="Q456" s="42"/>
      <c r="R456" s="42"/>
      <c r="S456" s="42"/>
      <c r="T456" s="42"/>
      <c r="U456" s="42"/>
      <c r="V456" s="42"/>
      <c r="W456" s="42"/>
      <c r="X456" s="42"/>
      <c r="Y456" s="42"/>
      <c r="Z456" s="42"/>
      <c r="AA456" s="42"/>
      <c r="AB456" s="42"/>
      <c r="AC456" s="42"/>
      <c r="AD456" s="42"/>
      <c r="AE456" s="42"/>
      <c r="AF456" s="42"/>
      <c r="AG456" s="42"/>
      <c r="AH456" s="42"/>
      <c r="AI456" s="42"/>
      <c r="AJ456" s="42"/>
    </row>
    <row r="457" spans="1:36" ht="15.75">
      <c r="A457" s="797"/>
      <c r="B457" s="339"/>
      <c r="C457" s="42"/>
      <c r="D457" s="282"/>
      <c r="E457" s="42"/>
      <c r="F457" s="42"/>
      <c r="G457" s="42"/>
      <c r="H457" s="42"/>
      <c r="I457" s="42"/>
      <c r="J457" s="42"/>
      <c r="K457" s="42"/>
      <c r="L457" s="42"/>
      <c r="M457" s="42"/>
      <c r="N457" s="282"/>
      <c r="O457" s="42"/>
      <c r="P457" s="42"/>
      <c r="Q457" s="42"/>
      <c r="R457" s="42"/>
      <c r="S457" s="42"/>
      <c r="T457" s="42"/>
      <c r="U457" s="42"/>
      <c r="V457" s="42"/>
      <c r="W457" s="42"/>
      <c r="X457" s="42"/>
      <c r="Y457" s="42"/>
      <c r="Z457" s="42"/>
      <c r="AA457" s="42"/>
      <c r="AB457" s="42"/>
      <c r="AC457" s="42"/>
      <c r="AD457" s="42"/>
      <c r="AE457" s="42"/>
      <c r="AF457" s="42"/>
      <c r="AG457" s="42"/>
      <c r="AH457" s="42"/>
      <c r="AI457" s="42"/>
      <c r="AJ457" s="42"/>
    </row>
    <row r="458" spans="1:36" ht="15.75">
      <c r="A458" s="797"/>
      <c r="B458" s="339"/>
      <c r="C458" s="42"/>
      <c r="D458" s="282"/>
      <c r="E458" s="42"/>
      <c r="F458" s="42"/>
      <c r="G458" s="42"/>
      <c r="H458" s="42"/>
      <c r="I458" s="42"/>
      <c r="J458" s="42"/>
      <c r="K458" s="42"/>
      <c r="L458" s="42"/>
      <c r="M458" s="42"/>
      <c r="N458" s="282"/>
      <c r="O458" s="42"/>
      <c r="P458" s="42"/>
      <c r="Q458" s="42"/>
      <c r="R458" s="42"/>
      <c r="S458" s="42"/>
      <c r="T458" s="42"/>
      <c r="U458" s="42"/>
      <c r="V458" s="42"/>
      <c r="W458" s="42"/>
      <c r="X458" s="42"/>
      <c r="Y458" s="42"/>
      <c r="Z458" s="42"/>
      <c r="AA458" s="42"/>
      <c r="AB458" s="42"/>
      <c r="AC458" s="42"/>
      <c r="AD458" s="42"/>
      <c r="AE458" s="42"/>
      <c r="AF458" s="42"/>
      <c r="AG458" s="42"/>
      <c r="AH458" s="42"/>
      <c r="AI458" s="42"/>
      <c r="AJ458" s="42"/>
    </row>
    <row r="459" spans="1:36" ht="15.75">
      <c r="A459" s="797"/>
      <c r="B459" s="339"/>
      <c r="C459" s="42"/>
      <c r="D459" s="282"/>
      <c r="E459" s="42"/>
      <c r="F459" s="42"/>
      <c r="G459" s="42"/>
      <c r="H459" s="42"/>
      <c r="I459" s="42"/>
      <c r="J459" s="42"/>
      <c r="K459" s="42"/>
      <c r="L459" s="42"/>
      <c r="M459" s="42"/>
      <c r="N459" s="282"/>
      <c r="O459" s="42"/>
      <c r="P459" s="42"/>
      <c r="Q459" s="42"/>
      <c r="R459" s="42"/>
      <c r="S459" s="42"/>
      <c r="T459" s="42"/>
      <c r="U459" s="42"/>
      <c r="V459" s="42"/>
      <c r="W459" s="42"/>
      <c r="X459" s="42"/>
      <c r="Y459" s="42"/>
      <c r="Z459" s="42"/>
      <c r="AA459" s="42"/>
      <c r="AB459" s="42"/>
      <c r="AC459" s="42"/>
      <c r="AD459" s="42"/>
      <c r="AE459" s="42"/>
      <c r="AF459" s="42"/>
      <c r="AG459" s="42"/>
      <c r="AH459" s="42"/>
      <c r="AI459" s="42"/>
      <c r="AJ459" s="42"/>
    </row>
    <row r="460" spans="1:36" ht="15.75">
      <c r="A460" s="797"/>
      <c r="B460" s="339"/>
      <c r="C460" s="42"/>
      <c r="D460" s="282"/>
      <c r="E460" s="42"/>
      <c r="F460" s="42"/>
      <c r="G460" s="42"/>
      <c r="H460" s="42"/>
      <c r="I460" s="42"/>
      <c r="J460" s="42"/>
      <c r="K460" s="42"/>
      <c r="L460" s="42"/>
      <c r="M460" s="42"/>
      <c r="N460" s="282"/>
      <c r="O460" s="42"/>
      <c r="P460" s="42"/>
      <c r="Q460" s="42"/>
      <c r="R460" s="42"/>
      <c r="S460" s="42"/>
      <c r="T460" s="42"/>
      <c r="U460" s="42"/>
      <c r="V460" s="42"/>
      <c r="W460" s="42"/>
      <c r="X460" s="42"/>
      <c r="Y460" s="42"/>
      <c r="Z460" s="42"/>
      <c r="AA460" s="42"/>
      <c r="AB460" s="42"/>
      <c r="AC460" s="42"/>
      <c r="AD460" s="42"/>
      <c r="AE460" s="42"/>
      <c r="AF460" s="42"/>
      <c r="AG460" s="42"/>
      <c r="AH460" s="42"/>
      <c r="AI460" s="42"/>
      <c r="AJ460" s="42"/>
    </row>
    <row r="461" spans="1:36" ht="15.75">
      <c r="A461" s="797"/>
      <c r="B461" s="339"/>
      <c r="C461" s="42"/>
      <c r="D461" s="282"/>
      <c r="E461" s="42"/>
      <c r="F461" s="42"/>
      <c r="G461" s="42"/>
      <c r="H461" s="42"/>
      <c r="I461" s="42"/>
      <c r="J461" s="42"/>
      <c r="K461" s="42"/>
      <c r="L461" s="42"/>
      <c r="M461" s="42"/>
      <c r="N461" s="282"/>
      <c r="O461" s="42"/>
      <c r="P461" s="42"/>
      <c r="Q461" s="42"/>
      <c r="R461" s="42"/>
      <c r="S461" s="42"/>
      <c r="T461" s="42"/>
      <c r="U461" s="42"/>
      <c r="V461" s="42"/>
      <c r="W461" s="42"/>
      <c r="X461" s="42"/>
      <c r="Y461" s="42"/>
      <c r="Z461" s="42"/>
      <c r="AA461" s="42"/>
      <c r="AB461" s="42"/>
      <c r="AC461" s="42"/>
      <c r="AD461" s="42"/>
      <c r="AE461" s="42"/>
      <c r="AF461" s="42"/>
      <c r="AG461" s="42"/>
      <c r="AH461" s="42"/>
      <c r="AI461" s="42"/>
      <c r="AJ461" s="42"/>
    </row>
    <row r="462" spans="1:36" ht="15.75">
      <c r="A462" s="797"/>
      <c r="B462" s="339"/>
      <c r="C462" s="42"/>
      <c r="D462" s="282"/>
      <c r="E462" s="42"/>
      <c r="F462" s="42"/>
      <c r="G462" s="42"/>
      <c r="H462" s="42"/>
      <c r="I462" s="42"/>
      <c r="J462" s="42"/>
      <c r="K462" s="42"/>
      <c r="L462" s="42"/>
      <c r="M462" s="42"/>
      <c r="N462" s="282"/>
      <c r="O462" s="42"/>
      <c r="P462" s="42"/>
      <c r="Q462" s="42"/>
      <c r="R462" s="42"/>
      <c r="S462" s="42"/>
      <c r="T462" s="42"/>
      <c r="U462" s="42"/>
      <c r="V462" s="42"/>
      <c r="W462" s="42"/>
      <c r="X462" s="42"/>
      <c r="Y462" s="42"/>
      <c r="Z462" s="42"/>
      <c r="AA462" s="42"/>
      <c r="AB462" s="42"/>
      <c r="AC462" s="42"/>
      <c r="AD462" s="42"/>
      <c r="AE462" s="42"/>
      <c r="AF462" s="42"/>
      <c r="AG462" s="42"/>
      <c r="AH462" s="42"/>
      <c r="AI462" s="42"/>
      <c r="AJ462" s="42"/>
    </row>
    <row r="463" spans="1:36" ht="15.75">
      <c r="A463" s="797"/>
      <c r="B463" s="339"/>
      <c r="C463" s="42"/>
      <c r="D463" s="282"/>
      <c r="E463" s="42"/>
      <c r="F463" s="42"/>
      <c r="G463" s="42"/>
      <c r="H463" s="42"/>
      <c r="I463" s="42"/>
      <c r="J463" s="42"/>
      <c r="K463" s="42"/>
      <c r="L463" s="42"/>
      <c r="M463" s="42"/>
      <c r="N463" s="282"/>
      <c r="O463" s="42"/>
      <c r="P463" s="42"/>
      <c r="Q463" s="42"/>
      <c r="R463" s="42"/>
      <c r="S463" s="42"/>
      <c r="T463" s="42"/>
      <c r="U463" s="42"/>
      <c r="V463" s="42"/>
      <c r="W463" s="42"/>
      <c r="X463" s="42"/>
      <c r="Y463" s="42"/>
      <c r="Z463" s="42"/>
      <c r="AA463" s="42"/>
      <c r="AB463" s="42"/>
      <c r="AC463" s="42"/>
      <c r="AD463" s="42"/>
      <c r="AE463" s="42"/>
      <c r="AF463" s="42"/>
      <c r="AG463" s="42"/>
      <c r="AH463" s="42"/>
      <c r="AI463" s="42"/>
      <c r="AJ463" s="42"/>
    </row>
    <row r="464" spans="1:36" ht="15.75">
      <c r="A464" s="797"/>
      <c r="B464" s="339"/>
      <c r="C464" s="42"/>
      <c r="D464" s="282"/>
      <c r="E464" s="42"/>
      <c r="F464" s="42"/>
      <c r="G464" s="42"/>
      <c r="H464" s="42"/>
      <c r="I464" s="42"/>
      <c r="J464" s="42"/>
      <c r="K464" s="42"/>
      <c r="L464" s="42"/>
      <c r="M464" s="42"/>
      <c r="N464" s="282"/>
      <c r="O464" s="42"/>
      <c r="P464" s="42"/>
      <c r="Q464" s="42"/>
      <c r="R464" s="42"/>
      <c r="S464" s="42"/>
      <c r="T464" s="42"/>
      <c r="U464" s="42"/>
      <c r="V464" s="42"/>
      <c r="W464" s="42"/>
      <c r="X464" s="42"/>
      <c r="Y464" s="42"/>
      <c r="Z464" s="42"/>
      <c r="AA464" s="42"/>
      <c r="AB464" s="42"/>
      <c r="AC464" s="42"/>
      <c r="AD464" s="42"/>
      <c r="AE464" s="42"/>
      <c r="AF464" s="42"/>
      <c r="AG464" s="42"/>
      <c r="AH464" s="42"/>
      <c r="AI464" s="42"/>
      <c r="AJ464" s="42"/>
    </row>
    <row r="465" spans="1:36" ht="15.75">
      <c r="A465" s="797"/>
      <c r="B465" s="339"/>
      <c r="C465" s="42"/>
      <c r="D465" s="282"/>
      <c r="E465" s="42"/>
      <c r="F465" s="42"/>
      <c r="G465" s="42"/>
      <c r="H465" s="42"/>
      <c r="I465" s="42"/>
      <c r="J465" s="42"/>
      <c r="K465" s="42"/>
      <c r="L465" s="42"/>
      <c r="M465" s="42"/>
      <c r="N465" s="282"/>
      <c r="O465" s="42"/>
      <c r="P465" s="42"/>
      <c r="Q465" s="42"/>
      <c r="R465" s="42"/>
      <c r="S465" s="42"/>
      <c r="T465" s="42"/>
      <c r="U465" s="42"/>
      <c r="V465" s="42"/>
      <c r="W465" s="42"/>
      <c r="X465" s="42"/>
      <c r="Y465" s="42"/>
      <c r="Z465" s="42"/>
      <c r="AA465" s="42"/>
      <c r="AB465" s="42"/>
      <c r="AC465" s="42"/>
      <c r="AD465" s="42"/>
      <c r="AE465" s="42"/>
      <c r="AF465" s="42"/>
      <c r="AG465" s="42"/>
      <c r="AH465" s="42"/>
      <c r="AI465" s="42"/>
      <c r="AJ465" s="42"/>
    </row>
    <row r="466" spans="1:36" ht="15.75">
      <c r="A466" s="797"/>
      <c r="B466" s="339"/>
      <c r="E466" s="42"/>
      <c r="F466" s="42"/>
      <c r="G466" s="42"/>
      <c r="H466" s="42"/>
      <c r="I466" s="42"/>
      <c r="J466" s="42"/>
      <c r="K466" s="42"/>
      <c r="L466" s="42"/>
      <c r="M466" s="42"/>
      <c r="N466" s="282"/>
      <c r="O466" s="42"/>
      <c r="P466" s="42"/>
      <c r="Q466" s="42"/>
      <c r="R466" s="42"/>
      <c r="S466" s="42"/>
      <c r="T466" s="42"/>
      <c r="U466" s="42"/>
      <c r="V466" s="42"/>
      <c r="W466" s="42"/>
      <c r="X466" s="42"/>
      <c r="Y466" s="42"/>
      <c r="Z466" s="42"/>
      <c r="AA466" s="42"/>
      <c r="AB466" s="42"/>
      <c r="AC466" s="42"/>
      <c r="AD466" s="42"/>
      <c r="AE466" s="42"/>
      <c r="AF466" s="42"/>
      <c r="AG466" s="42"/>
      <c r="AH466" s="42"/>
      <c r="AI466" s="42"/>
      <c r="AJ466" s="42"/>
    </row>
    <row r="467" spans="1:36" ht="15.75">
      <c r="A467" s="797"/>
      <c r="B467" s="339"/>
      <c r="E467" s="42"/>
      <c r="F467" s="42"/>
      <c r="G467" s="42"/>
      <c r="H467" s="42"/>
      <c r="I467" s="42"/>
      <c r="J467" s="42"/>
      <c r="K467" s="42"/>
      <c r="L467" s="42"/>
      <c r="M467" s="42"/>
      <c r="N467" s="282"/>
      <c r="O467" s="42"/>
      <c r="P467" s="42"/>
      <c r="Q467" s="42"/>
      <c r="R467" s="42"/>
      <c r="S467" s="42"/>
      <c r="T467" s="42"/>
      <c r="U467" s="42"/>
      <c r="V467" s="42"/>
      <c r="W467" s="42"/>
      <c r="X467" s="42"/>
      <c r="Y467" s="42"/>
      <c r="Z467" s="42"/>
      <c r="AA467" s="42"/>
      <c r="AB467" s="42"/>
      <c r="AC467" s="42"/>
      <c r="AD467" s="42"/>
      <c r="AE467" s="42"/>
      <c r="AF467" s="42"/>
      <c r="AG467" s="42"/>
      <c r="AH467" s="42"/>
      <c r="AI467" s="42"/>
      <c r="AJ467" s="42"/>
    </row>
    <row r="468" spans="1:36" ht="15.75">
      <c r="A468" s="797"/>
      <c r="B468" s="339"/>
      <c r="E468" s="42"/>
      <c r="F468" s="42"/>
      <c r="G468" s="42"/>
      <c r="H468" s="42"/>
      <c r="I468" s="42"/>
      <c r="J468" s="42"/>
      <c r="K468" s="42"/>
      <c r="L468" s="42"/>
      <c r="M468" s="42"/>
      <c r="N468" s="282"/>
      <c r="O468" s="42"/>
      <c r="P468" s="42"/>
      <c r="Q468" s="42"/>
      <c r="R468" s="42"/>
      <c r="S468" s="42"/>
      <c r="T468" s="42"/>
      <c r="U468" s="42"/>
      <c r="V468" s="42"/>
      <c r="W468" s="42"/>
      <c r="X468" s="42"/>
      <c r="Y468" s="42"/>
      <c r="Z468" s="42"/>
      <c r="AA468" s="42"/>
      <c r="AB468" s="42"/>
      <c r="AC468" s="42"/>
      <c r="AD468" s="42"/>
      <c r="AE468" s="42"/>
      <c r="AF468" s="42"/>
      <c r="AG468" s="42"/>
      <c r="AH468" s="42"/>
      <c r="AI468" s="42"/>
      <c r="AJ468" s="42"/>
    </row>
    <row r="469" spans="1:36" ht="15.75">
      <c r="A469" s="797"/>
      <c r="B469" s="339"/>
      <c r="E469" s="42"/>
      <c r="F469" s="42"/>
      <c r="G469" s="42"/>
      <c r="H469" s="42"/>
      <c r="I469" s="42"/>
      <c r="J469" s="42"/>
      <c r="K469" s="42"/>
      <c r="L469" s="42"/>
      <c r="M469" s="42"/>
      <c r="N469" s="282"/>
      <c r="O469" s="42"/>
      <c r="P469" s="42"/>
      <c r="Q469" s="42"/>
      <c r="R469" s="42"/>
      <c r="S469" s="42"/>
      <c r="T469" s="42"/>
      <c r="U469" s="42"/>
      <c r="V469" s="42"/>
      <c r="W469" s="42"/>
      <c r="X469" s="42"/>
      <c r="Y469" s="42"/>
      <c r="Z469" s="42"/>
      <c r="AA469" s="42"/>
      <c r="AB469" s="42"/>
      <c r="AC469" s="42"/>
      <c r="AD469" s="42"/>
      <c r="AE469" s="42"/>
      <c r="AF469" s="42"/>
      <c r="AG469" s="42"/>
      <c r="AH469" s="42"/>
      <c r="AI469" s="42"/>
      <c r="AJ469" s="42"/>
    </row>
    <row r="470" spans="1:36" ht="15.75">
      <c r="A470" s="797"/>
      <c r="B470" s="339"/>
      <c r="E470" s="42"/>
      <c r="F470" s="42"/>
      <c r="G470" s="42"/>
      <c r="H470" s="42"/>
      <c r="I470" s="42"/>
      <c r="J470" s="42"/>
      <c r="K470" s="42"/>
      <c r="L470" s="42"/>
      <c r="M470" s="42"/>
      <c r="N470" s="282"/>
      <c r="O470" s="42"/>
      <c r="P470" s="42"/>
      <c r="Q470" s="42"/>
      <c r="R470" s="42"/>
      <c r="S470" s="42"/>
      <c r="T470" s="42"/>
      <c r="U470" s="42"/>
      <c r="V470" s="42"/>
      <c r="W470" s="42"/>
      <c r="X470" s="42"/>
      <c r="Y470" s="42"/>
      <c r="Z470" s="42"/>
      <c r="AA470" s="42"/>
      <c r="AB470" s="42"/>
      <c r="AC470" s="42"/>
      <c r="AD470" s="42"/>
      <c r="AE470" s="42"/>
      <c r="AF470" s="42"/>
      <c r="AG470" s="42"/>
      <c r="AH470" s="42"/>
      <c r="AI470" s="42"/>
      <c r="AJ470" s="42"/>
    </row>
    <row r="471" spans="1:36" ht="15.75">
      <c r="A471" s="797"/>
      <c r="B471" s="339"/>
      <c r="E471" s="42"/>
      <c r="F471" s="42"/>
      <c r="G471" s="42"/>
      <c r="H471" s="42"/>
      <c r="I471" s="42"/>
      <c r="J471" s="42"/>
      <c r="K471" s="42"/>
      <c r="L471" s="42"/>
      <c r="M471" s="42"/>
      <c r="N471" s="282"/>
      <c r="O471" s="42"/>
      <c r="P471" s="42"/>
      <c r="Q471" s="42"/>
      <c r="R471" s="42"/>
      <c r="S471" s="42"/>
      <c r="T471" s="42"/>
      <c r="U471" s="42"/>
      <c r="V471" s="42"/>
      <c r="W471" s="42"/>
      <c r="X471" s="42"/>
      <c r="Y471" s="42"/>
      <c r="Z471" s="42"/>
      <c r="AA471" s="42"/>
      <c r="AB471" s="42"/>
      <c r="AC471" s="42"/>
      <c r="AD471" s="42"/>
      <c r="AE471" s="42"/>
      <c r="AF471" s="42"/>
      <c r="AG471" s="42"/>
      <c r="AH471" s="42"/>
      <c r="AI471" s="42"/>
      <c r="AJ471" s="42"/>
    </row>
    <row r="472" spans="1:36" ht="15.75">
      <c r="A472" s="797"/>
      <c r="B472" s="339"/>
      <c r="E472" s="42"/>
      <c r="F472" s="42"/>
      <c r="G472" s="42"/>
      <c r="H472" s="42"/>
      <c r="I472" s="42"/>
      <c r="J472" s="42"/>
      <c r="K472" s="42"/>
      <c r="L472" s="42"/>
      <c r="M472" s="42"/>
      <c r="N472" s="282"/>
      <c r="O472" s="42"/>
      <c r="P472" s="42"/>
      <c r="Q472" s="42"/>
      <c r="R472" s="42"/>
      <c r="S472" s="42"/>
      <c r="T472" s="42"/>
      <c r="U472" s="42"/>
      <c r="V472" s="42"/>
      <c r="W472" s="42"/>
      <c r="X472" s="42"/>
      <c r="Y472" s="42"/>
      <c r="Z472" s="42"/>
      <c r="AA472" s="42"/>
      <c r="AB472" s="42"/>
      <c r="AC472" s="42"/>
      <c r="AD472" s="42"/>
      <c r="AE472" s="42"/>
      <c r="AF472" s="42"/>
      <c r="AG472" s="42"/>
      <c r="AH472" s="42"/>
      <c r="AI472" s="42"/>
      <c r="AJ472" s="42"/>
    </row>
    <row r="473" spans="1:36" ht="15.75">
      <c r="A473" s="797"/>
      <c r="B473" s="339"/>
      <c r="E473" s="42"/>
      <c r="F473" s="42"/>
      <c r="G473" s="42"/>
      <c r="H473" s="42"/>
      <c r="I473" s="42"/>
      <c r="J473" s="42"/>
      <c r="K473" s="42"/>
      <c r="L473" s="42"/>
      <c r="M473" s="42"/>
      <c r="N473" s="282"/>
      <c r="O473" s="42"/>
      <c r="P473" s="42"/>
      <c r="Q473" s="42"/>
      <c r="R473" s="42"/>
      <c r="S473" s="42"/>
      <c r="T473" s="42"/>
      <c r="U473" s="42"/>
      <c r="V473" s="42"/>
      <c r="W473" s="42"/>
      <c r="X473" s="42"/>
      <c r="Y473" s="42"/>
      <c r="Z473" s="42"/>
      <c r="AA473" s="42"/>
      <c r="AB473" s="42"/>
      <c r="AC473" s="42"/>
      <c r="AD473" s="42"/>
      <c r="AE473" s="42"/>
      <c r="AF473" s="42"/>
      <c r="AG473" s="42"/>
      <c r="AH473" s="42"/>
      <c r="AI473" s="42"/>
      <c r="AJ473" s="42"/>
    </row>
    <row r="474" spans="1:36" ht="15.75">
      <c r="A474" s="797"/>
      <c r="B474" s="339"/>
      <c r="E474" s="42"/>
      <c r="F474" s="42"/>
      <c r="G474" s="42"/>
      <c r="H474" s="42"/>
      <c r="I474" s="42"/>
      <c r="J474" s="42"/>
      <c r="K474" s="42"/>
      <c r="L474" s="42"/>
      <c r="M474" s="42"/>
      <c r="N474" s="282"/>
      <c r="O474" s="42"/>
      <c r="P474" s="42"/>
      <c r="Q474" s="42"/>
      <c r="R474" s="42"/>
      <c r="S474" s="42"/>
      <c r="T474" s="42"/>
      <c r="U474" s="42"/>
      <c r="V474" s="42"/>
      <c r="W474" s="42"/>
      <c r="X474" s="42"/>
      <c r="Y474" s="42"/>
      <c r="Z474" s="42"/>
      <c r="AA474" s="42"/>
      <c r="AB474" s="42"/>
      <c r="AC474" s="42"/>
      <c r="AD474" s="42"/>
      <c r="AE474" s="42"/>
      <c r="AF474" s="42"/>
      <c r="AG474" s="42"/>
      <c r="AH474" s="42"/>
      <c r="AI474" s="42"/>
      <c r="AJ474" s="42"/>
    </row>
    <row r="475" spans="1:36" ht="15.75">
      <c r="A475" s="797"/>
      <c r="B475" s="339"/>
      <c r="E475" s="42"/>
      <c r="F475" s="42"/>
      <c r="G475" s="42"/>
      <c r="H475" s="42"/>
      <c r="I475" s="42"/>
      <c r="J475" s="42"/>
      <c r="K475" s="42"/>
      <c r="L475" s="42"/>
      <c r="M475" s="42"/>
      <c r="N475" s="282"/>
      <c r="O475" s="42"/>
      <c r="P475" s="42"/>
      <c r="Q475" s="42"/>
      <c r="R475" s="42"/>
      <c r="S475" s="42"/>
      <c r="T475" s="42"/>
      <c r="U475" s="42"/>
      <c r="V475" s="42"/>
      <c r="W475" s="42"/>
      <c r="X475" s="42"/>
      <c r="Y475" s="42"/>
      <c r="Z475" s="42"/>
      <c r="AA475" s="42"/>
      <c r="AB475" s="42"/>
      <c r="AC475" s="42"/>
      <c r="AD475" s="42"/>
      <c r="AE475" s="42"/>
      <c r="AF475" s="42"/>
      <c r="AG475" s="42"/>
      <c r="AH475" s="42"/>
      <c r="AI475" s="42"/>
      <c r="AJ475" s="42"/>
    </row>
    <row r="476" spans="1:36" ht="15.75">
      <c r="A476" s="797"/>
      <c r="B476" s="339"/>
      <c r="E476" s="42"/>
      <c r="F476" s="42"/>
      <c r="G476" s="42"/>
      <c r="H476" s="42"/>
      <c r="I476" s="42"/>
      <c r="J476" s="42"/>
      <c r="K476" s="42"/>
      <c r="L476" s="42"/>
      <c r="M476" s="42"/>
      <c r="N476" s="282"/>
      <c r="O476" s="42"/>
      <c r="P476" s="42"/>
      <c r="Q476" s="42"/>
      <c r="R476" s="42"/>
      <c r="S476" s="42"/>
      <c r="T476" s="42"/>
      <c r="U476" s="42"/>
      <c r="V476" s="42"/>
      <c r="W476" s="42"/>
      <c r="X476" s="42"/>
      <c r="Y476" s="42"/>
      <c r="Z476" s="42"/>
      <c r="AA476" s="42"/>
      <c r="AB476" s="42"/>
      <c r="AC476" s="42"/>
      <c r="AD476" s="42"/>
      <c r="AE476" s="42"/>
      <c r="AF476" s="42"/>
      <c r="AG476" s="42"/>
      <c r="AH476" s="42"/>
      <c r="AI476" s="42"/>
      <c r="AJ476" s="42"/>
    </row>
    <row r="477" spans="1:36" ht="15.75">
      <c r="A477" s="797"/>
      <c r="B477" s="339"/>
      <c r="E477" s="42"/>
      <c r="F477" s="42"/>
      <c r="G477" s="42"/>
      <c r="H477" s="42"/>
      <c r="I477" s="42"/>
      <c r="J477" s="42"/>
      <c r="K477" s="42"/>
      <c r="L477" s="42"/>
      <c r="M477" s="42"/>
      <c r="N477" s="282"/>
      <c r="O477" s="42"/>
      <c r="P477" s="42"/>
      <c r="Q477" s="42"/>
      <c r="R477" s="42"/>
      <c r="S477" s="42"/>
      <c r="T477" s="42"/>
      <c r="U477" s="42"/>
      <c r="V477" s="42"/>
      <c r="W477" s="42"/>
      <c r="X477" s="42"/>
      <c r="Y477" s="42"/>
      <c r="Z477" s="42"/>
      <c r="AA477" s="42"/>
      <c r="AB477" s="42"/>
      <c r="AC477" s="42"/>
      <c r="AD477" s="42"/>
      <c r="AE477" s="42"/>
      <c r="AF477" s="42"/>
      <c r="AG477" s="42"/>
      <c r="AH477" s="42"/>
      <c r="AI477" s="42"/>
      <c r="AJ477" s="42"/>
    </row>
    <row r="478" spans="1:36" ht="15.75">
      <c r="A478" s="797"/>
      <c r="B478" s="339"/>
      <c r="E478" s="42"/>
      <c r="F478" s="42"/>
      <c r="G478" s="42"/>
      <c r="H478" s="42"/>
      <c r="I478" s="42"/>
      <c r="J478" s="42"/>
      <c r="K478" s="42"/>
      <c r="L478" s="42"/>
      <c r="M478" s="42"/>
      <c r="N478" s="282"/>
      <c r="O478" s="42"/>
      <c r="P478" s="42"/>
      <c r="Q478" s="42"/>
      <c r="R478" s="42"/>
      <c r="S478" s="42"/>
      <c r="T478" s="42"/>
      <c r="U478" s="42"/>
      <c r="V478" s="42"/>
      <c r="W478" s="42"/>
      <c r="X478" s="42"/>
      <c r="Y478" s="42"/>
      <c r="Z478" s="42"/>
      <c r="AA478" s="42"/>
      <c r="AB478" s="42"/>
      <c r="AC478" s="42"/>
      <c r="AD478" s="42"/>
      <c r="AE478" s="42"/>
      <c r="AF478" s="42"/>
      <c r="AG478" s="42"/>
      <c r="AH478" s="42"/>
      <c r="AI478" s="42"/>
      <c r="AJ478" s="42"/>
    </row>
    <row r="479" spans="1:36" ht="15.75">
      <c r="A479" s="797"/>
      <c r="B479" s="339"/>
      <c r="E479" s="42"/>
      <c r="F479" s="42"/>
      <c r="G479" s="42"/>
      <c r="H479" s="42"/>
      <c r="I479" s="42"/>
      <c r="J479" s="42"/>
      <c r="K479" s="42"/>
      <c r="L479" s="42"/>
      <c r="M479" s="42"/>
      <c r="N479" s="282"/>
      <c r="O479" s="42"/>
      <c r="P479" s="42"/>
      <c r="Q479" s="42"/>
      <c r="R479" s="42"/>
      <c r="S479" s="42"/>
      <c r="T479" s="42"/>
      <c r="U479" s="42"/>
      <c r="V479" s="42"/>
      <c r="W479" s="42"/>
      <c r="X479" s="42"/>
      <c r="Y479" s="42"/>
      <c r="Z479" s="42"/>
      <c r="AA479" s="42"/>
      <c r="AB479" s="42"/>
      <c r="AC479" s="42"/>
      <c r="AD479" s="42"/>
      <c r="AE479" s="42"/>
      <c r="AF479" s="42"/>
      <c r="AG479" s="42"/>
      <c r="AH479" s="42"/>
      <c r="AI479" s="42"/>
      <c r="AJ479" s="42"/>
    </row>
    <row r="480" spans="1:36" ht="15.75">
      <c r="A480" s="797"/>
      <c r="B480" s="339"/>
      <c r="E480" s="42"/>
      <c r="F480" s="42"/>
      <c r="G480" s="42"/>
      <c r="H480" s="42"/>
      <c r="I480" s="42"/>
      <c r="J480" s="42"/>
      <c r="K480" s="42"/>
      <c r="L480" s="42"/>
      <c r="M480" s="42"/>
      <c r="N480" s="282"/>
      <c r="O480" s="42"/>
      <c r="P480" s="42"/>
      <c r="Q480" s="42"/>
      <c r="R480" s="42"/>
      <c r="S480" s="42"/>
      <c r="T480" s="42"/>
      <c r="U480" s="42"/>
      <c r="V480" s="42"/>
      <c r="W480" s="42"/>
      <c r="X480" s="42"/>
      <c r="Y480" s="42"/>
      <c r="Z480" s="42"/>
      <c r="AA480" s="42"/>
      <c r="AB480" s="42"/>
      <c r="AC480" s="42"/>
      <c r="AD480" s="42"/>
      <c r="AE480" s="42"/>
      <c r="AF480" s="42"/>
      <c r="AG480" s="42"/>
      <c r="AH480" s="42"/>
      <c r="AI480" s="42"/>
      <c r="AJ480" s="42"/>
    </row>
    <row r="481" spans="1:36" ht="15.75">
      <c r="A481" s="797"/>
      <c r="B481" s="339"/>
      <c r="E481" s="42"/>
      <c r="F481" s="42"/>
      <c r="G481" s="42"/>
      <c r="H481" s="42"/>
      <c r="I481" s="42"/>
      <c r="J481" s="42"/>
      <c r="K481" s="42"/>
      <c r="L481" s="42"/>
      <c r="M481" s="42"/>
      <c r="N481" s="282"/>
      <c r="O481" s="42"/>
      <c r="P481" s="42"/>
      <c r="Q481" s="42"/>
      <c r="R481" s="42"/>
      <c r="S481" s="42"/>
      <c r="T481" s="42"/>
      <c r="U481" s="42"/>
      <c r="V481" s="42"/>
      <c r="W481" s="42"/>
      <c r="X481" s="42"/>
      <c r="Y481" s="42"/>
      <c r="Z481" s="42"/>
      <c r="AA481" s="42"/>
      <c r="AB481" s="42"/>
      <c r="AC481" s="42"/>
      <c r="AD481" s="42"/>
      <c r="AE481" s="42"/>
      <c r="AF481" s="42"/>
      <c r="AG481" s="42"/>
      <c r="AH481" s="42"/>
      <c r="AI481" s="42"/>
      <c r="AJ481" s="42"/>
    </row>
    <row r="482" spans="1:36" ht="15.75">
      <c r="A482" s="797"/>
      <c r="B482" s="339"/>
      <c r="E482" s="42"/>
      <c r="F482" s="42"/>
      <c r="G482" s="42"/>
      <c r="H482" s="42"/>
      <c r="I482" s="42"/>
      <c r="J482" s="42"/>
      <c r="K482" s="42"/>
      <c r="L482" s="42"/>
      <c r="M482" s="42"/>
      <c r="N482" s="282"/>
      <c r="O482" s="42"/>
      <c r="P482" s="42"/>
      <c r="Q482" s="42"/>
      <c r="R482" s="42"/>
      <c r="S482" s="42"/>
      <c r="T482" s="42"/>
      <c r="U482" s="42"/>
      <c r="V482" s="42"/>
      <c r="W482" s="42"/>
      <c r="X482" s="42"/>
      <c r="Y482" s="42"/>
      <c r="Z482" s="42"/>
      <c r="AA482" s="42"/>
      <c r="AB482" s="42"/>
      <c r="AC482" s="42"/>
      <c r="AD482" s="42"/>
      <c r="AE482" s="42"/>
      <c r="AF482" s="42"/>
      <c r="AG482" s="42"/>
      <c r="AH482" s="42"/>
      <c r="AI482" s="42"/>
      <c r="AJ482" s="42"/>
    </row>
    <row r="483" spans="1:36" ht="15.75">
      <c r="A483" s="797"/>
      <c r="B483" s="339"/>
      <c r="E483" s="42"/>
      <c r="F483" s="42"/>
      <c r="G483" s="42"/>
      <c r="H483" s="42"/>
      <c r="I483" s="42"/>
      <c r="J483" s="42"/>
      <c r="K483" s="42"/>
      <c r="L483" s="42"/>
      <c r="M483" s="42"/>
      <c r="N483" s="282"/>
      <c r="O483" s="42"/>
      <c r="P483" s="42"/>
      <c r="Q483" s="42"/>
      <c r="R483" s="42"/>
      <c r="S483" s="42"/>
      <c r="T483" s="42"/>
      <c r="U483" s="42"/>
      <c r="V483" s="42"/>
      <c r="W483" s="42"/>
      <c r="X483" s="42"/>
      <c r="Y483" s="42"/>
      <c r="Z483" s="42"/>
      <c r="AA483" s="42"/>
      <c r="AB483" s="42"/>
      <c r="AC483" s="42"/>
      <c r="AD483" s="42"/>
      <c r="AE483" s="42"/>
      <c r="AF483" s="42"/>
      <c r="AG483" s="42"/>
      <c r="AH483" s="42"/>
      <c r="AI483" s="42"/>
      <c r="AJ483" s="42"/>
    </row>
    <row r="484" spans="1:36" ht="15.75">
      <c r="A484" s="797"/>
      <c r="B484" s="339"/>
      <c r="E484" s="42"/>
      <c r="F484" s="42"/>
      <c r="G484" s="42"/>
      <c r="H484" s="42"/>
      <c r="I484" s="42"/>
      <c r="J484" s="42"/>
      <c r="K484" s="42"/>
      <c r="L484" s="42"/>
      <c r="M484" s="42"/>
      <c r="N484" s="282"/>
      <c r="O484" s="42"/>
      <c r="P484" s="42"/>
      <c r="T484" s="42"/>
      <c r="U484" s="42"/>
      <c r="V484" s="42"/>
      <c r="W484" s="42"/>
      <c r="X484" s="42"/>
      <c r="Y484" s="42"/>
      <c r="Z484" s="42"/>
      <c r="AA484" s="42"/>
      <c r="AB484" s="42"/>
      <c r="AC484" s="42"/>
      <c r="AD484" s="42"/>
      <c r="AE484" s="42"/>
      <c r="AF484" s="42"/>
      <c r="AG484" s="42"/>
      <c r="AH484" s="42"/>
      <c r="AI484" s="42"/>
      <c r="AJ484" s="42"/>
    </row>
    <row r="485" spans="1:36" ht="15.75">
      <c r="A485" s="797"/>
      <c r="B485" s="339"/>
      <c r="E485" s="42"/>
      <c r="F485" s="42"/>
      <c r="G485" s="42"/>
      <c r="H485" s="42"/>
      <c r="I485" s="42"/>
      <c r="J485" s="42"/>
      <c r="K485" s="42"/>
      <c r="L485" s="42"/>
      <c r="M485" s="42"/>
      <c r="N485" s="282"/>
      <c r="O485" s="42"/>
      <c r="T485" s="42"/>
      <c r="U485" s="42"/>
      <c r="V485" s="42"/>
      <c r="W485" s="42"/>
      <c r="X485" s="42"/>
      <c r="Y485" s="42"/>
      <c r="Z485" s="42"/>
      <c r="AA485" s="42"/>
      <c r="AB485" s="42"/>
      <c r="AC485" s="42"/>
      <c r="AD485" s="42"/>
      <c r="AE485" s="42"/>
      <c r="AF485" s="42"/>
      <c r="AG485" s="42"/>
      <c r="AH485" s="42"/>
      <c r="AI485" s="42"/>
      <c r="AJ485" s="42"/>
    </row>
    <row r="486" spans="1:36" ht="15.75">
      <c r="A486" s="797"/>
      <c r="B486" s="339"/>
      <c r="E486" s="42"/>
      <c r="F486" s="42"/>
      <c r="H486" s="42"/>
      <c r="I486" s="42"/>
      <c r="J486" s="42"/>
      <c r="K486" s="42"/>
      <c r="L486" s="42"/>
      <c r="M486" s="42"/>
      <c r="T486" s="42"/>
      <c r="U486" s="42"/>
      <c r="V486" s="42"/>
      <c r="W486" s="42"/>
      <c r="X486" s="42"/>
      <c r="Y486" s="42"/>
      <c r="Z486" s="42"/>
      <c r="AA486" s="42"/>
      <c r="AB486" s="42"/>
      <c r="AC486" s="42"/>
      <c r="AD486" s="42"/>
      <c r="AE486" s="42"/>
      <c r="AF486" s="42"/>
      <c r="AG486" s="42"/>
      <c r="AH486" s="42"/>
      <c r="AI486" s="42"/>
      <c r="AJ486" s="42"/>
    </row>
    <row r="487" spans="1:36" ht="15.75">
      <c r="A487" s="797"/>
      <c r="B487" s="339"/>
      <c r="T487" s="42"/>
      <c r="U487" s="42"/>
      <c r="V487" s="42"/>
      <c r="W487" s="42"/>
      <c r="X487" s="42"/>
      <c r="Y487" s="42"/>
      <c r="Z487" s="42"/>
      <c r="AA487" s="42"/>
      <c r="AB487" s="42"/>
      <c r="AC487" s="42"/>
      <c r="AD487" s="42"/>
      <c r="AE487" s="42"/>
      <c r="AF487" s="42"/>
      <c r="AG487" s="42"/>
      <c r="AH487" s="42"/>
      <c r="AI487" s="42"/>
      <c r="AJ487" s="42"/>
    </row>
    <row r="488" spans="1:36" ht="15.75">
      <c r="A488" s="797"/>
      <c r="B488" s="339"/>
      <c r="T488" s="42"/>
      <c r="U488" s="42"/>
      <c r="V488" s="42"/>
      <c r="W488" s="42"/>
      <c r="X488" s="42"/>
      <c r="Y488" s="42"/>
      <c r="Z488" s="42"/>
      <c r="AA488" s="42"/>
      <c r="AB488" s="42"/>
      <c r="AC488" s="42"/>
      <c r="AD488" s="42"/>
      <c r="AE488" s="42"/>
      <c r="AF488" s="42"/>
      <c r="AG488" s="42"/>
      <c r="AH488" s="42"/>
      <c r="AI488" s="42"/>
      <c r="AJ488" s="42"/>
    </row>
    <row r="489" spans="1:36" ht="15.75">
      <c r="A489" s="797"/>
      <c r="B489" s="339"/>
      <c r="T489" s="42"/>
      <c r="U489" s="42"/>
      <c r="V489" s="42"/>
      <c r="W489" s="42"/>
      <c r="X489" s="42"/>
      <c r="Y489" s="42"/>
      <c r="Z489" s="42"/>
      <c r="AA489" s="42"/>
      <c r="AB489" s="42"/>
      <c r="AC489" s="42"/>
      <c r="AD489" s="42"/>
      <c r="AE489" s="42"/>
      <c r="AF489" s="42"/>
      <c r="AG489" s="42"/>
      <c r="AH489" s="42"/>
      <c r="AI489" s="42"/>
      <c r="AJ489" s="42"/>
    </row>
    <row r="490" spans="1:36" ht="15.75">
      <c r="A490" s="797"/>
      <c r="B490" s="339"/>
      <c r="T490" s="42"/>
      <c r="U490" s="42"/>
      <c r="V490" s="42"/>
      <c r="W490" s="42"/>
      <c r="X490" s="42"/>
      <c r="Y490" s="42"/>
      <c r="Z490" s="42"/>
      <c r="AA490" s="42"/>
      <c r="AB490" s="42"/>
      <c r="AC490" s="42"/>
      <c r="AD490" s="42"/>
      <c r="AE490" s="42"/>
      <c r="AF490" s="42"/>
      <c r="AG490" s="42"/>
      <c r="AH490" s="42"/>
      <c r="AI490" s="42"/>
      <c r="AJ490" s="42"/>
    </row>
    <row r="491" spans="1:36" ht="15.75">
      <c r="A491" s="797"/>
      <c r="B491" s="339"/>
      <c r="T491" s="42"/>
      <c r="U491" s="42"/>
      <c r="V491" s="42"/>
      <c r="W491" s="42"/>
      <c r="X491" s="42"/>
      <c r="Y491" s="42"/>
      <c r="Z491" s="42"/>
      <c r="AA491" s="42"/>
      <c r="AB491" s="42"/>
      <c r="AC491" s="42"/>
      <c r="AD491" s="42"/>
      <c r="AE491" s="42"/>
      <c r="AF491" s="42"/>
      <c r="AG491" s="42"/>
      <c r="AH491" s="42"/>
      <c r="AI491" s="42"/>
      <c r="AJ491" s="42"/>
    </row>
    <row r="492" spans="1:36" ht="15.75">
      <c r="A492" s="797"/>
      <c r="B492" s="339"/>
      <c r="T492" s="42"/>
      <c r="U492" s="42"/>
      <c r="V492" s="42"/>
      <c r="W492" s="42"/>
      <c r="X492" s="42"/>
      <c r="Y492" s="42"/>
      <c r="Z492" s="42"/>
      <c r="AA492" s="42"/>
      <c r="AB492" s="42"/>
      <c r="AC492" s="42"/>
      <c r="AD492" s="42"/>
      <c r="AE492" s="42"/>
      <c r="AF492" s="42"/>
      <c r="AG492" s="42"/>
      <c r="AH492" s="42"/>
      <c r="AI492" s="42"/>
      <c r="AJ492" s="42"/>
    </row>
    <row r="493" spans="1:36" ht="15.75">
      <c r="A493" s="797"/>
      <c r="T493" s="42"/>
      <c r="U493" s="42"/>
      <c r="V493" s="42"/>
      <c r="W493" s="42"/>
      <c r="X493" s="42"/>
      <c r="Y493" s="42"/>
      <c r="Z493" s="42"/>
      <c r="AA493" s="42"/>
      <c r="AB493" s="42"/>
      <c r="AC493" s="42"/>
      <c r="AD493" s="42"/>
      <c r="AE493" s="42"/>
      <c r="AF493" s="42"/>
      <c r="AG493" s="42"/>
      <c r="AH493" s="42"/>
      <c r="AI493" s="42"/>
      <c r="AJ493" s="42"/>
    </row>
    <row r="494" spans="1:36" ht="15.75">
      <c r="A494" s="797"/>
      <c r="T494" s="42"/>
      <c r="U494" s="42"/>
      <c r="V494" s="42"/>
      <c r="W494" s="42"/>
      <c r="X494" s="42"/>
      <c r="Y494" s="42"/>
      <c r="Z494" s="42"/>
      <c r="AA494" s="42"/>
      <c r="AB494" s="42"/>
      <c r="AC494" s="42"/>
      <c r="AD494" s="42"/>
      <c r="AE494" s="42"/>
      <c r="AF494" s="42"/>
      <c r="AG494" s="42"/>
      <c r="AH494" s="42"/>
      <c r="AI494" s="42"/>
      <c r="AJ494" s="42"/>
    </row>
    <row r="495" spans="1:36" ht="15.75">
      <c r="A495" s="797"/>
      <c r="T495" s="42"/>
      <c r="U495" s="42"/>
      <c r="V495" s="42"/>
      <c r="W495" s="42"/>
      <c r="X495" s="42"/>
      <c r="Y495" s="42"/>
      <c r="Z495" s="42"/>
      <c r="AA495" s="42"/>
      <c r="AB495" s="42"/>
      <c r="AC495" s="42"/>
      <c r="AD495" s="42"/>
      <c r="AE495" s="42"/>
      <c r="AF495" s="42"/>
      <c r="AG495" s="42"/>
      <c r="AH495" s="42"/>
      <c r="AI495" s="42"/>
      <c r="AJ495" s="42"/>
    </row>
    <row r="496" spans="1:36" ht="15.75">
      <c r="A496" s="797"/>
      <c r="T496" s="42"/>
      <c r="U496" s="42"/>
      <c r="V496" s="42"/>
      <c r="W496" s="42"/>
      <c r="X496" s="42"/>
      <c r="Y496" s="42"/>
      <c r="Z496" s="42"/>
      <c r="AA496" s="42"/>
      <c r="AB496" s="42"/>
      <c r="AC496" s="42"/>
      <c r="AD496" s="42"/>
      <c r="AE496" s="42"/>
      <c r="AF496" s="42"/>
      <c r="AG496" s="42"/>
      <c r="AH496" s="42"/>
      <c r="AI496" s="42"/>
      <c r="AJ496" s="42"/>
    </row>
    <row r="497" spans="1:36" ht="15.75">
      <c r="A497" s="797"/>
      <c r="T497" s="42"/>
      <c r="U497" s="42"/>
      <c r="V497" s="42"/>
      <c r="W497" s="42"/>
      <c r="X497" s="42"/>
      <c r="Y497" s="42"/>
      <c r="Z497" s="42"/>
      <c r="AA497" s="42"/>
      <c r="AB497" s="42"/>
      <c r="AC497" s="42"/>
      <c r="AD497" s="42"/>
      <c r="AE497" s="42"/>
      <c r="AF497" s="42"/>
      <c r="AG497" s="42"/>
      <c r="AH497" s="42"/>
      <c r="AI497" s="42"/>
      <c r="AJ497" s="42"/>
    </row>
    <row r="498" spans="1:36" ht="15.75">
      <c r="A498" s="797"/>
      <c r="T498" s="42"/>
      <c r="U498" s="42"/>
      <c r="V498" s="42"/>
      <c r="W498" s="42"/>
      <c r="X498" s="42"/>
      <c r="Y498" s="42"/>
      <c r="Z498" s="42"/>
      <c r="AA498" s="42"/>
      <c r="AB498" s="42"/>
      <c r="AC498" s="42"/>
      <c r="AD498" s="42"/>
      <c r="AE498" s="42"/>
      <c r="AF498" s="42"/>
      <c r="AG498" s="42"/>
      <c r="AH498" s="42"/>
      <c r="AI498" s="42"/>
      <c r="AJ498" s="42"/>
    </row>
    <row r="499" spans="1:36" ht="15.75">
      <c r="A499" s="797"/>
      <c r="T499" s="42"/>
      <c r="U499" s="42"/>
      <c r="V499" s="42"/>
      <c r="W499" s="42"/>
      <c r="X499" s="42"/>
      <c r="Y499" s="42"/>
      <c r="Z499" s="42"/>
      <c r="AA499" s="42"/>
      <c r="AB499" s="42"/>
      <c r="AC499" s="42"/>
      <c r="AD499" s="42"/>
      <c r="AE499" s="42"/>
      <c r="AF499" s="42"/>
      <c r="AG499" s="42"/>
      <c r="AH499" s="42"/>
      <c r="AI499" s="42"/>
      <c r="AJ499" s="42"/>
    </row>
    <row r="500" spans="1:36" ht="15.75">
      <c r="A500" s="797"/>
      <c r="T500" s="42"/>
      <c r="U500" s="42"/>
      <c r="V500" s="42"/>
      <c r="W500" s="42"/>
      <c r="X500" s="42"/>
      <c r="Y500" s="42"/>
      <c r="Z500" s="42"/>
      <c r="AA500" s="42"/>
      <c r="AB500" s="42"/>
      <c r="AC500" s="42"/>
      <c r="AD500" s="42"/>
      <c r="AE500" s="42"/>
      <c r="AF500" s="42"/>
      <c r="AG500" s="42"/>
      <c r="AH500" s="42"/>
      <c r="AI500" s="42"/>
      <c r="AJ500" s="42"/>
    </row>
    <row r="501" spans="1:36" ht="15.75">
      <c r="A501" s="797"/>
      <c r="T501" s="42"/>
      <c r="U501" s="42"/>
      <c r="V501" s="42"/>
      <c r="W501" s="42"/>
      <c r="X501" s="42"/>
      <c r="Y501" s="42"/>
      <c r="Z501" s="42"/>
      <c r="AA501" s="42"/>
      <c r="AB501" s="42"/>
      <c r="AC501" s="42"/>
      <c r="AD501" s="42"/>
      <c r="AE501" s="42"/>
      <c r="AF501" s="42"/>
      <c r="AG501" s="42"/>
      <c r="AH501" s="42"/>
      <c r="AI501" s="42"/>
      <c r="AJ501" s="42"/>
    </row>
    <row r="502" spans="1:36" ht="15.75">
      <c r="A502" s="797"/>
    </row>
  </sheetData>
  <sheetProtection sheet="1" objects="1" scenarios="1" formatColumns="0" formatRows="0" selectLockedCells="1"/>
  <mergeCells count="11">
    <mergeCell ref="C2:C7"/>
    <mergeCell ref="N10:P10"/>
    <mergeCell ref="K10:M10"/>
    <mergeCell ref="O110:O111"/>
    <mergeCell ref="G10:I10"/>
    <mergeCell ref="N34:O34"/>
    <mergeCell ref="K34:M34"/>
    <mergeCell ref="G34:I34"/>
    <mergeCell ref="G53:I53"/>
    <mergeCell ref="K53:M53"/>
    <mergeCell ref="G2:Q5"/>
  </mergeCells>
  <dataValidations count="5">
    <dataValidation type="list" allowBlank="1" showInputMessage="1" showErrorMessage="1" sqref="C80:D81">
      <formula1>$C$75:$C$79</formula1>
    </dataValidation>
    <dataValidation type="list" allowBlank="1" showInputMessage="1" showErrorMessage="1" sqref="C92:D95">
      <formula1>$C$83:$C$94</formula1>
    </dataValidation>
    <dataValidation type="list" allowBlank="1" showInputMessage="1" showErrorMessage="1" sqref="C55:C68">
      <formula1>Gärrest</formula1>
    </dataValidation>
    <dataValidation type="list" allowBlank="1" showInputMessage="1" showErrorMessage="1" sqref="C12:C30">
      <formula1>Substpfl</formula1>
    </dataValidation>
    <dataValidation type="list" allowBlank="1" showInputMessage="1" showErrorMessage="1" sqref="C36:C49">
      <formula1>OrgDgohne</formula1>
    </dataValidation>
  </dataValidations>
  <pageMargins left="0.7" right="0.7" top="0.78740157499999996" bottom="0.78740157499999996"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'Daten Biogasanlage'!#REF!</xm:f>
          </x14:formula1>
          <xm:sqref>C88:D89 C84:D85 C76:D77 C72:D73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9" tint="0.59999389629810485"/>
  </sheetPr>
  <dimension ref="A1:AG52"/>
  <sheetViews>
    <sheetView topLeftCell="B10" zoomScale="80" zoomScaleNormal="80" zoomScaleSheetLayoutView="50" workbookViewId="0">
      <selection activeCell="I18" sqref="I18"/>
    </sheetView>
  </sheetViews>
  <sheetFormatPr baseColWidth="10" defaultRowHeight="15"/>
  <cols>
    <col min="1" max="1" width="4.5703125" style="1056" customWidth="1"/>
    <col min="2" max="2" width="51" style="754" customWidth="1"/>
    <col min="3" max="3" width="35" style="754" customWidth="1"/>
    <col min="4" max="4" width="20.7109375" style="754" customWidth="1"/>
    <col min="5" max="5" width="10" style="754" customWidth="1"/>
    <col min="6" max="9" width="8.42578125" style="754" customWidth="1"/>
    <col min="10" max="10" width="10" style="754" customWidth="1"/>
    <col min="11" max="12" width="8.42578125" style="754" customWidth="1"/>
    <col min="13" max="13" width="15.42578125" style="754" customWidth="1"/>
    <col min="14" max="14" width="12" style="754" customWidth="1"/>
    <col min="15" max="15" width="11.5703125" style="754" customWidth="1"/>
    <col min="16" max="16" width="10.5703125" style="760" customWidth="1"/>
    <col min="17" max="17" width="10.140625" style="760" customWidth="1"/>
    <col min="18" max="19" width="14.140625" style="754" customWidth="1"/>
    <col min="20" max="20" width="13.42578125" style="754" customWidth="1"/>
    <col min="21" max="21" width="15.28515625" style="754" customWidth="1"/>
    <col min="22" max="24" width="12.7109375" style="754" customWidth="1"/>
    <col min="25" max="27" width="9.7109375" style="754" customWidth="1"/>
    <col min="28" max="28" width="10.85546875" style="754" customWidth="1"/>
    <col min="29" max="29" width="15.42578125" style="754" customWidth="1"/>
    <col min="30" max="30" width="10.85546875" style="754" customWidth="1"/>
    <col min="31" max="33" width="9.85546875" style="754" customWidth="1"/>
    <col min="34" max="16384" width="11.42578125" style="754"/>
  </cols>
  <sheetData>
    <row r="1" spans="1:33" ht="15" customHeight="1">
      <c r="A1" s="1055"/>
      <c r="B1" s="1394" t="s">
        <v>182</v>
      </c>
      <c r="C1" s="1395"/>
      <c r="D1" s="1395"/>
      <c r="F1" s="1387" t="s">
        <v>756</v>
      </c>
      <c r="G1" s="1387"/>
      <c r="H1" s="1387"/>
      <c r="I1" s="1387"/>
      <c r="S1" s="107"/>
    </row>
    <row r="2" spans="1:33" ht="15" customHeight="1">
      <c r="B2" s="1395"/>
      <c r="C2" s="1395"/>
      <c r="D2" s="1395"/>
      <c r="F2" s="1387"/>
      <c r="G2" s="1387"/>
      <c r="H2" s="1387"/>
      <c r="I2" s="1387"/>
      <c r="J2" s="755"/>
      <c r="T2" s="107"/>
      <c r="U2" s="1366" t="s">
        <v>1147</v>
      </c>
      <c r="V2" s="1367"/>
      <c r="W2" s="1367"/>
      <c r="X2" s="1368"/>
    </row>
    <row r="3" spans="1:33" ht="15.75" customHeight="1">
      <c r="F3" s="1387"/>
      <c r="G3" s="1387"/>
      <c r="H3" s="1387"/>
      <c r="I3" s="1387"/>
      <c r="S3" s="107"/>
      <c r="T3" s="107"/>
      <c r="U3" s="1369"/>
      <c r="V3" s="1370"/>
      <c r="W3" s="1370"/>
      <c r="X3" s="1371"/>
    </row>
    <row r="4" spans="1:33" ht="16.5" customHeight="1">
      <c r="B4" s="756"/>
      <c r="C4" s="756"/>
      <c r="D4" s="756"/>
      <c r="F4" s="1387"/>
      <c r="G4" s="1387"/>
      <c r="H4" s="1387"/>
      <c r="I4" s="1387"/>
      <c r="K4" s="1328" t="s">
        <v>1156</v>
      </c>
      <c r="L4" s="1404"/>
      <c r="M4" s="1401"/>
      <c r="R4" s="107"/>
      <c r="S4" s="107"/>
      <c r="T4" s="1053"/>
      <c r="U4" s="1369"/>
      <c r="V4" s="1370"/>
      <c r="W4" s="1370"/>
      <c r="X4" s="1371"/>
      <c r="Y4" s="1349" t="s">
        <v>412</v>
      </c>
      <c r="Z4" s="1349"/>
      <c r="AA4" s="1350"/>
      <c r="AB4" s="107"/>
    </row>
    <row r="5" spans="1:33" ht="30" customHeight="1">
      <c r="A5" s="1388"/>
      <c r="B5" s="1396" t="s">
        <v>1204</v>
      </c>
      <c r="C5" s="1387" t="s">
        <v>1165</v>
      </c>
      <c r="D5" s="1387"/>
      <c r="E5" s="1241"/>
      <c r="F5" s="1387"/>
      <c r="G5" s="1387"/>
      <c r="H5" s="1387"/>
      <c r="I5" s="1387"/>
      <c r="K5" s="879" t="s">
        <v>1157</v>
      </c>
      <c r="L5" s="878" t="s">
        <v>1160</v>
      </c>
      <c r="M5" s="1052" t="s">
        <v>1158</v>
      </c>
      <c r="R5" s="107"/>
      <c r="S5" s="107"/>
      <c r="T5" s="1053"/>
      <c r="U5" s="1369"/>
      <c r="V5" s="1370"/>
      <c r="W5" s="1370"/>
      <c r="X5" s="1371"/>
      <c r="Y5" s="1351"/>
      <c r="Z5" s="1351"/>
      <c r="AA5" s="1352"/>
      <c r="AB5" s="107"/>
    </row>
    <row r="6" spans="1:33" ht="19.5" customHeight="1">
      <c r="A6" s="1388"/>
      <c r="B6" s="1396"/>
      <c r="C6" s="1387"/>
      <c r="D6" s="1387"/>
      <c r="E6" s="1241"/>
      <c r="F6" s="1379" t="s">
        <v>399</v>
      </c>
      <c r="G6" s="1380"/>
      <c r="H6" s="1380"/>
      <c r="I6" s="1381"/>
      <c r="K6" s="880">
        <v>150</v>
      </c>
      <c r="L6" s="880">
        <v>10</v>
      </c>
      <c r="M6" s="761">
        <f>K6*L6/24</f>
        <v>62.5</v>
      </c>
      <c r="R6" s="107"/>
      <c r="S6" s="107"/>
      <c r="T6" s="1053"/>
      <c r="U6" s="1369"/>
      <c r="V6" s="1370"/>
      <c r="W6" s="1370"/>
      <c r="X6" s="1371"/>
      <c r="Y6" s="1351"/>
      <c r="Z6" s="1351"/>
      <c r="AA6" s="1352"/>
      <c r="AB6" s="107"/>
    </row>
    <row r="7" spans="1:33" ht="21.75" customHeight="1">
      <c r="A7" s="1388"/>
      <c r="B7" s="1396"/>
      <c r="C7" s="1387"/>
      <c r="D7" s="1387"/>
      <c r="E7" s="1241"/>
      <c r="F7" s="1382"/>
      <c r="G7" s="1241"/>
      <c r="H7" s="1241"/>
      <c r="I7" s="1383"/>
      <c r="K7" s="880">
        <v>0</v>
      </c>
      <c r="L7" s="880">
        <v>0</v>
      </c>
      <c r="M7" s="761">
        <f>K7*L7/24</f>
        <v>0</v>
      </c>
      <c r="R7" s="107"/>
      <c r="S7" s="107"/>
      <c r="T7" s="1053"/>
      <c r="U7" s="1369"/>
      <c r="V7" s="1370"/>
      <c r="W7" s="1370"/>
      <c r="X7" s="1371"/>
      <c r="Y7" s="1351"/>
      <c r="Z7" s="1351"/>
      <c r="AA7" s="1352"/>
      <c r="AB7" s="107"/>
    </row>
    <row r="8" spans="1:33" ht="26.25" customHeight="1">
      <c r="A8" s="1388"/>
      <c r="B8" s="1396"/>
      <c r="C8" s="1387"/>
      <c r="D8" s="1387"/>
      <c r="E8" s="1241"/>
      <c r="F8" s="1382"/>
      <c r="G8" s="1241"/>
      <c r="H8" s="1241"/>
      <c r="I8" s="1383"/>
      <c r="K8" s="880">
        <v>0</v>
      </c>
      <c r="L8" s="880">
        <v>0</v>
      </c>
      <c r="M8" s="761">
        <f>K8*L8/24</f>
        <v>0</v>
      </c>
      <c r="R8" s="107"/>
      <c r="S8" s="107"/>
      <c r="T8" s="1053"/>
      <c r="U8" s="1369"/>
      <c r="V8" s="1370"/>
      <c r="W8" s="1370"/>
      <c r="X8" s="1371"/>
      <c r="Y8" s="1353"/>
      <c r="Z8" s="1353"/>
      <c r="AA8" s="1354"/>
      <c r="AB8" s="107"/>
    </row>
    <row r="9" spans="1:33" ht="21" customHeight="1">
      <c r="A9" s="1388"/>
      <c r="B9" s="1396"/>
      <c r="C9" s="1387"/>
      <c r="D9" s="1387"/>
      <c r="E9" s="1241"/>
      <c r="F9" s="1384"/>
      <c r="G9" s="1385"/>
      <c r="H9" s="1385"/>
      <c r="I9" s="1386"/>
      <c r="J9" s="755"/>
      <c r="K9" s="1400" t="s">
        <v>38</v>
      </c>
      <c r="L9" s="1401"/>
      <c r="M9" s="885">
        <f>M6+M7+M8</f>
        <v>62.5</v>
      </c>
      <c r="N9" s="881" t="s">
        <v>1159</v>
      </c>
      <c r="O9" s="881"/>
      <c r="P9" s="882"/>
      <c r="R9" s="107"/>
      <c r="S9" s="107"/>
      <c r="T9" s="1053"/>
      <c r="U9" s="1369"/>
      <c r="V9" s="1370"/>
      <c r="W9" s="1370"/>
      <c r="X9" s="1371"/>
      <c r="Y9" s="1375" t="s">
        <v>396</v>
      </c>
      <c r="Z9" s="1377" t="s">
        <v>183</v>
      </c>
      <c r="AA9" s="1377" t="s">
        <v>184</v>
      </c>
      <c r="AB9" s="109"/>
      <c r="AC9" s="109"/>
      <c r="AD9" s="109"/>
      <c r="AE9" s="109"/>
      <c r="AF9" s="109"/>
    </row>
    <row r="10" spans="1:33" ht="31.5" customHeight="1">
      <c r="A10" s="1388"/>
      <c r="B10" s="1396"/>
      <c r="C10" s="1387"/>
      <c r="D10" s="1387"/>
      <c r="E10" s="1241"/>
      <c r="F10" s="1288" t="str">
        <f>IF(OR(F13+G13+I13&gt;365,F14+G14+I14&gt;365,F15+G15+I15&gt;365,F16+G16+I16&gt;365,F17+G17+I17&gt;365,F18+G18+I18&gt;365,F19+G19+I19&gt;365,F20+G20+I20&gt;365,F21+G21+I21&gt;365,F22+G22+I22&gt;365,F23+G23+I23&gt;365,F24+G24+I24&gt;365,F25+G25+I25&gt;365,F26+G26+I26&gt;365,F27+G27+I27&gt;365,F28+G28+I28&gt;365,F29+G29+I29&gt;365,F30+G30+I30&gt;365,F31+G31+I31&gt;365,F32+G32+I32&gt;365,F33+G33+I33&gt;365,F34+G34+I34&gt;365,F35+G35+I35&gt;365,F36+G36+I36&gt;365,F37+G37+I37&gt;365,F38+G38+I38&gt;365,F39+G39+I39&gt;365,F40+G40+I40&gt;365,F41+G41+I41&gt;365,F42+G42+I42&gt;365,F43+G43+I43&gt;365,F44+G44+I44&gt;365),"Das Jahr hat nur 365 Tage, bitte prüfen Sie Ihre Eingaben!","")</f>
        <v/>
      </c>
      <c r="G10" s="1288"/>
      <c r="H10" s="1288"/>
      <c r="I10" s="1288"/>
      <c r="J10" s="756"/>
      <c r="R10" s="107"/>
      <c r="S10" s="107"/>
      <c r="T10" s="107"/>
      <c r="U10" s="1372"/>
      <c r="V10" s="1373"/>
      <c r="W10" s="1373"/>
      <c r="X10" s="1374"/>
      <c r="Y10" s="1376"/>
      <c r="Z10" s="1378"/>
      <c r="AA10" s="1378"/>
      <c r="AB10" s="109"/>
      <c r="AC10" s="109"/>
      <c r="AD10" s="109"/>
      <c r="AE10" s="109"/>
      <c r="AF10" s="109"/>
      <c r="AG10" s="109"/>
    </row>
    <row r="11" spans="1:33" s="363" customFormat="1" ht="42" customHeight="1">
      <c r="A11" s="1056"/>
      <c r="B11" s="1392" t="s">
        <v>1161</v>
      </c>
      <c r="C11" s="1397" t="s">
        <v>1093</v>
      </c>
      <c r="D11" s="1397" t="s">
        <v>535</v>
      </c>
      <c r="E11" s="1287" t="s">
        <v>401</v>
      </c>
      <c r="F11" s="1360" t="s">
        <v>364</v>
      </c>
      <c r="G11" s="1361"/>
      <c r="H11" s="1361"/>
      <c r="I11" s="1362"/>
      <c r="J11" s="1363" t="s">
        <v>411</v>
      </c>
      <c r="K11" s="1364"/>
      <c r="L11" s="1365"/>
      <c r="M11" s="1402" t="s">
        <v>1459</v>
      </c>
      <c r="N11" s="1399" t="s">
        <v>1108</v>
      </c>
      <c r="O11" s="1324"/>
      <c r="P11" s="1324"/>
      <c r="Q11" s="1325"/>
      <c r="R11" s="1357" t="s">
        <v>443</v>
      </c>
      <c r="S11" s="1358"/>
      <c r="T11" s="1359"/>
      <c r="U11" s="1389" t="s">
        <v>1119</v>
      </c>
      <c r="V11" s="1390"/>
      <c r="W11" s="1390"/>
      <c r="X11" s="1391"/>
      <c r="Y11" s="1355" t="s">
        <v>106</v>
      </c>
      <c r="Z11" s="1355" t="s">
        <v>107</v>
      </c>
      <c r="AA11" s="1355" t="s">
        <v>108</v>
      </c>
      <c r="AB11" s="1287" t="s">
        <v>405</v>
      </c>
      <c r="AC11" s="1287"/>
      <c r="AD11" s="1287"/>
      <c r="AE11" s="1287" t="s">
        <v>1140</v>
      </c>
      <c r="AF11" s="1287"/>
      <c r="AG11" s="1287"/>
    </row>
    <row r="12" spans="1:33" s="363" customFormat="1" ht="131.25" customHeight="1">
      <c r="A12" s="1056" t="s">
        <v>256</v>
      </c>
      <c r="B12" s="1393"/>
      <c r="C12" s="1398"/>
      <c r="D12" s="1398"/>
      <c r="E12" s="1387"/>
      <c r="F12" s="750" t="s">
        <v>14</v>
      </c>
      <c r="G12" s="750" t="s">
        <v>19</v>
      </c>
      <c r="H12" s="747" t="s">
        <v>185</v>
      </c>
      <c r="I12" s="750" t="s">
        <v>20</v>
      </c>
      <c r="J12" s="340" t="s">
        <v>16</v>
      </c>
      <c r="K12" s="340" t="s">
        <v>113</v>
      </c>
      <c r="L12" s="340" t="s">
        <v>114</v>
      </c>
      <c r="M12" s="1403"/>
      <c r="N12" s="762" t="s">
        <v>1132</v>
      </c>
      <c r="O12" s="749" t="s">
        <v>1130</v>
      </c>
      <c r="P12" s="740" t="s">
        <v>1121</v>
      </c>
      <c r="Q12" s="740" t="s">
        <v>1131</v>
      </c>
      <c r="R12" s="750" t="s">
        <v>16</v>
      </c>
      <c r="S12" s="750" t="s">
        <v>113</v>
      </c>
      <c r="T12" s="750" t="s">
        <v>114</v>
      </c>
      <c r="U12" s="1048" t="s">
        <v>393</v>
      </c>
      <c r="V12" s="1048" t="s">
        <v>394</v>
      </c>
      <c r="W12" s="1048" t="s">
        <v>395</v>
      </c>
      <c r="X12" s="1049" t="s">
        <v>536</v>
      </c>
      <c r="Y12" s="1356"/>
      <c r="Z12" s="1356"/>
      <c r="AA12" s="1356"/>
      <c r="AB12" s="748" t="s">
        <v>397</v>
      </c>
      <c r="AC12" s="707" t="s">
        <v>413</v>
      </c>
      <c r="AD12" s="341" t="s">
        <v>398</v>
      </c>
      <c r="AE12" s="708" t="s">
        <v>16</v>
      </c>
      <c r="AF12" s="750" t="s">
        <v>113</v>
      </c>
      <c r="AG12" s="750" t="s">
        <v>114</v>
      </c>
    </row>
    <row r="13" spans="1:33" s="363" customFormat="1">
      <c r="A13" s="1056">
        <f>VLOOKUP(B13,'Daten Tierhaltung'!$B$7:$Z$108,2,FALSE)</f>
        <v>86</v>
      </c>
      <c r="B13" s="820" t="s">
        <v>664</v>
      </c>
      <c r="C13" s="820" t="s">
        <v>223</v>
      </c>
      <c r="D13" s="821">
        <v>0</v>
      </c>
      <c r="E13" s="821">
        <v>0</v>
      </c>
      <c r="F13" s="757">
        <f>IF(OR(A13=58,A13=59,A13=60,A13=61,A13=62,A13=63,A13=64,A13=65,A13=66,A13=67,A13=68,A13=69,A13=72,A13=73,A13=74,A13=75,A13=76,A13=77,A13=78,A13=79,A13=80,A13=81,A13=82,A13=83,A13=84,A13=85,A13=86,A13=87,A13=88,A13=89,A13=90,A13=91,A13=92,A13=93,A13=97,A13=98,A13=99,A13=100),0,IF(365-G13-I13&lt;0,0,365-G13-I13))</f>
        <v>0</v>
      </c>
      <c r="G13" s="821">
        <v>0</v>
      </c>
      <c r="H13" s="820" t="s">
        <v>107</v>
      </c>
      <c r="I13" s="821">
        <v>0</v>
      </c>
      <c r="J13" s="758">
        <f>IF(A13=6,IF(D13&lt;=8000,0.0075*D13+69,0.007*D13+73),IF(A13=7,IF(D13&lt;=8000,0.0075*D13+64,0.0085*D13+56),IF(A13=101,IF(D13&lt;=8000,0.0073*D13+51,0.0085*D13+32),IF(A13=8,IF(D13&lt;=8000,0.007*D13+61,0.009*D13+44.667),IF(A13=9,IF(D13&lt;=8000,0.0075*D13+47,0.009*D13+23),IF(A13=10,IF(D13&lt;=8000,0.0075*D13+45,0.0093*D13+27),IF(A13=11,IF(D13&lt;=7000,0.0075*D13+38.5,0.01*D13+21),IF(A13=51,0.0058*D13+7.0627,IF(A13=52,0.0055*D13+6.8356,IF(A13=53,0.0052*D13+6.0136,VLOOKUP(B13,'Daten Tierhaltung'!$B$7:$J$110,4,FALSE)))))))))))</f>
        <v>51.1</v>
      </c>
      <c r="K13" s="758">
        <f>IF(A13=6,IF(D13&lt;=8000,0.0035*D13+15,0.002*D13+27),IF(A13=7,IF(D13&lt;=8000,0.003*D13+19,0.0025*D13+23),IF(A13=101,IF(D13&lt;=8000,0.0015*D13+24,0.0015*D13+26),IF(A13=8,IF(D13&lt;=8000,0.0025*D13+22,0.0025*D13+22),IF(A13=9,IF(D13&lt;=8000,0.0015*D13+23,0.0015*D13+24),IF(A13=10,IF(D13&lt;=8000,0.001*D13+27,0.001*D13+31.5),IF(A13=11,IF(D13&lt;=7000,0.002*D13+2.2,0.001*D13+7.5),IF(A13=51,0.0009*D13+4.1288,IF(A13=52,0.0014*D13+3.0932,IF(A13=53,0.0006*D13+3.3542,VLOOKUP(B13,'Daten Tierhaltung'!$B$7:$J$110,5,FALSE)))))))))))</f>
        <v>23.4</v>
      </c>
      <c r="L13" s="758">
        <f>IF(A13=6,IF(D13&lt;=8000,0.004*D13+110,0.004*D13+110),IF(A13=7,IF(D13&lt;=8000,0.0025*D13+114,0.0045*D13+98),IF(A13=101,IF(D13&lt;=8000,0.0025*D13+98,0.0045*D13+96),IF(A13=8,IF(D13&lt;=8000,0.007*D13+67,0.004*D13+91),IF(A13=9,IF(D13&lt;=8000,0.006*D13+68,0.0045*D13+80),IF(A13=10,IF(D13&lt;=8000,0.006*D13+58,0.0045*D13+80),IF(A13=11,IF(D13&lt;=7000,0.006*D13+54,0.006*D13+54),IF(A13=51,0.0023*D13+3.9271,IF(A13=52,0.0028*D13+3.3915,IF(A13=53,0.0024*D13+3.522,VLOOKUP(B13,'Daten Tierhaltung'!$B$7:$J$110,6,FALSE)))))))))))</f>
        <v>57.5</v>
      </c>
      <c r="M13" s="758">
        <f>O13+Q13</f>
        <v>0</v>
      </c>
      <c r="N13" s="758" t="str">
        <f>IF(C13="Abgabe an andere Betriebe",E13*J13*(($F13/365*VLOOKUP(B13,'Daten Tierhaltung'!$B$7:$S$110,17,FALSE))+(($G13/365*VLOOKUP(B13,'Daten Tierhaltung'!$B$7:$S$110,18,FALSE)))),"0")</f>
        <v>0</v>
      </c>
      <c r="O13" s="758">
        <f>IF(C13="auf selbst bewirtschaft. Flächen",E13*J13*(($F13/365*VLOOKUP(B13,'Daten Tierhaltung'!$B$7:$S$110,17,FALSE))+(($G13/365*VLOOKUP(B13,'Daten Tierhaltung'!$B$7:$S$110,18,FALSE)))),"0")</f>
        <v>0</v>
      </c>
      <c r="P13" s="753">
        <f>E13*I13/365*VLOOKUP(B13,'Daten Tierhaltung'!$B$7:$V$110,18,FALSE)*J13</f>
        <v>0</v>
      </c>
      <c r="Q13" s="753" t="str">
        <f>IF(C13="in eigene Biogasanlage",E13*J13*((0.95*F13/365*VLOOKUP(B13,'Daten Tierhaltung'!$B$7:$V$110,17,FALSE))+((0.95*G13/365*VLOOKUP(B13,'Daten Tierhaltung'!$B$7:$V$110,18,FALSE)))),"0")</f>
        <v>0</v>
      </c>
      <c r="R13" s="20">
        <f>E13*IF(A13=6,IF(D13&lt;=8000,0.0015*D13+99,0.001*D13+103),IF(A13=7,IF(D13&lt;=8000,0.0005*D13+95,0.001*D13+91),IF(A13=101,IF(D13&lt;=8000,0.005*D13+56,0.005*D13+56),IF(A13=8,IF(D13&lt;=8000,0.0035*D13+65,0.002*D13+77),IF(A13=9,IF(D13&lt;=8000,0.0035*D13+51,0.003*D13+59),IF(A13=10,IF(D13&lt;=8000,0.0035*D13+50.5,0.0035*D13+56),IF(A13=11,IF(D13&lt;=7000,0.0035*D13+50,0.0025*D13+57.5),VLOOKUP(B13,'Daten Tierhaltung'!$B$7:$J$110,7,FALSE))))))))</f>
        <v>0</v>
      </c>
      <c r="S13" s="20">
        <f>E13*IF(A13=6,IF(D13&lt;=8000,0.0005*D13+30,0.001*D13+26),IF(A13=7,IF(D13&lt;=8000,0.0005*D13+28,0.0005*D13+28),IF(A13=101,IF(D13&lt;=8000,0.0015*D13+18.5,0.0015*D13+19.5),IF(A13=8,IF(D13&lt;=8000,0.0015*D13+19,0.0008*D13+25),IF(A13=9,IF(D13&lt;=8000,0.0015*D13+17,0.0015*D13+17.5),IF(A13=10,IF(D13&lt;=8000,0.001*D13+18.3,0.001*D13+20.4),IF(A13=11,IF(D13&lt;=7000,0.0013*D13+15,0.0013*D13+15.75),VLOOKUP(B13,'Daten Tierhaltung'!$B$7:$J$110,8,FALSE))))))))</f>
        <v>0</v>
      </c>
      <c r="T13" s="20">
        <f>E13*IF(A13=6,IF(D13&lt;=8000,0.002*D13+115,0.0015*D13+119),IF(A13=7,IF(D13&lt;=8000,0.0005*D13+118,0.001*D13+114),IF(A13=101,IF(D13&lt;=8000,0.0005*D13+76,0.001*D13+80),IF(A13=8,IF(D13&lt;=8000,0.004*D13+75,0.003*D13+83),IF(A13=9,IF(D13&lt;=8000,0.004*D13+69,0.0028*D13+79),IF(A13=10,IF(D13&lt;=8000,0.004*D13+60,0.0028*D13+75),IF(A13=11,IF(D13&lt;=7000,0.0045*D13+55,0.0025*D13+69.5),VLOOKUP(B13,'Daten Tierhaltung'!$B$7:$J$110,9,FALSE))))))))</f>
        <v>0</v>
      </c>
      <c r="U13" s="20">
        <f>IF(B13="leer",0,IF(G13&gt;60.8333,(IF(OR(A13=6,A13=7,A13=8,A13=9, A13=10, A13=101),IF(D13&lt;8000,(0.15*D13+6300)/1000,(0.25*D13+5500)/1000),IF(A13=11,(0.25*D13+5650)/1000,VLOOKUP(B13,'Daten Tierhaltung'!$B$7:$Q$110,11,FALSE))))*1/3*Tierhaltung!E13,IF(OR(A13=6,A13=7,A13=8,A13=9, A13=10,A13=101),(0.15*D13+6300)/1000,IF(A13=11,(0.25*D13+5650)/1000,VLOOKUP(B13,'Daten Tierhaltung'!$B$7:$Z$110,11,FALSE)))*G13*E13/182.5))</f>
        <v>0</v>
      </c>
      <c r="V13" s="20">
        <f>IF(B13="leer",0,IF(F13&gt;182.5,IF(OR(A13=6,A13=7,A13=8,A13=9,A13=10,A13=101),(0.25*D13+8000)/1000,VLOOKUP(B13,'Daten Tierhaltung'!$B$7:$Q$81,13,FALSE))*E13,IF(OR(A13=6,A13=7,A13=8,A13=9,A13=10,A13=101),(0.25*D13+8000)/1000,VLOOKUP(B13,'Daten Tierhaltung'!$B$7:$Z$110,13,FALSE))*E13*F13/182.5))</f>
        <v>0</v>
      </c>
      <c r="W13" s="20">
        <f t="shared" ref="W13:W44" si="0">IF(H13="gering",Y13*E13,IF(H13="mittel",Z13*E13,IF(H13="hoch",AA13*E13)))</f>
        <v>0</v>
      </c>
      <c r="X13" s="394">
        <f>SUM(V13:W13)</f>
        <v>0</v>
      </c>
      <c r="Y13" s="394">
        <f>IF(B13="leer",0,(IF(F13&gt;=182.5,0,IF(I13&gt;=182.5,(365-I13-F13)*IF(OR(A13=6,A13=7,A13=8,A13=9,A13=10,A13=101),((0.1*D13+2400)/1000)/182.5,VLOOKUP(B13,'Daten Tierhaltung'!$B$7:$Q$110,16,FALSE)),(182.5-F13)*IF(OR(A13=6,A13=7,A13=8,A13=9,A13=10,A13=101),((0.1*D13+2400)/1000)/182.5,(VLOOKUP(B13,'Daten Tierhaltung'!$B$7:$Q$110,16,FALSE)))))))</f>
        <v>0</v>
      </c>
      <c r="Z13" s="394">
        <f>IF(B13="leer",0,(IF(F13&gt;=182.5,0,IF(I13&gt;=182.5,(365-I13-F13)*IF(OR(A13=6,A13=7,A13=8,A13=9,A13=10,A13=101),((0.1*D13+2400)/1000)/(182.5*2),VLOOKUP(B13,'Daten Tierhaltung'!$B$7:$Q$110,16,FALSE)/2),(182.5-F13)*IF(OR(A13=6,A13=7,A13=8,A13=9,A13=10,A13=101),((0.1*D13+2400)/1000)/(182.5*2),(VLOOKUP(B13,'Daten Tierhaltung'!$B$7:$Z$110,16,FALSE)/2))))))</f>
        <v>0</v>
      </c>
      <c r="AA13" s="394">
        <f t="shared" ref="AA13:AA44" si="1">IF(B13="leer",0,(IF(F13&gt;=182.5,0,IF(I13&gt;=182.5,(365-I13-F13)*0,(182.5-F13)*0))))</f>
        <v>0</v>
      </c>
      <c r="AB13" s="394">
        <f>E13*J13*(F13/365*VLOOKUP(B13,'Daten Tierhaltung'!$B$7:$Z$110,22,FALSE)/100+(G13/365*VLOOKUP(B13,'Daten Tierhaltung'!$B$7:$Z$110,23,FALSE))/100)</f>
        <v>0</v>
      </c>
      <c r="AC13" s="394">
        <f>IF(C13="Abgabe an andere Betriebe",0,IF(C13="in eigene Biogasanlage",(E13*J13*((F13+G13)/365)-AB13)*0.1,IF(C13="auf selbst bewirtschaft. Flächen",(E13*J13*((F13+G13)/365)-AB13)*((F13/365*VLOOKUP(B13,'Daten Tierhaltung'!$B$7:$Z$110,24,FALSE)+(G13+I13)/365*VLOOKUP(B13,'Daten Tierhaltung'!$B$7:$Z$110,25,FALSE))/100),0)))</f>
        <v>0</v>
      </c>
      <c r="AD13" s="394">
        <f t="shared" ref="AD13:AD44" si="2">E13*J13*I13/365*0.75</f>
        <v>0</v>
      </c>
      <c r="AE13" s="20">
        <f t="shared" ref="AE13:AE44" si="3">IF(C13="Abgabe an andere Betriebe",J13*E13*(365-I13)/365-AB13,0)</f>
        <v>0</v>
      </c>
      <c r="AF13" s="20">
        <f t="shared" ref="AF13:AF44" si="4">IF(C13="Abgabe an andere Betriebe",K13*E13*(365-I13)/365,0)</f>
        <v>0</v>
      </c>
      <c r="AG13" s="20">
        <f t="shared" ref="AG13:AG44" si="5">IF(C13="Abgabe an andere Betriebe",L13*E13*(365-I13)/365,0)</f>
        <v>0</v>
      </c>
    </row>
    <row r="14" spans="1:33" s="363" customFormat="1">
      <c r="A14" s="1056">
        <f>VLOOKUP(B14,'Daten Tierhaltung'!$B$7:$Z$108,2,FALSE)</f>
        <v>0</v>
      </c>
      <c r="B14" s="820" t="s">
        <v>163</v>
      </c>
      <c r="C14" s="820" t="s">
        <v>223</v>
      </c>
      <c r="D14" s="821">
        <v>0</v>
      </c>
      <c r="E14" s="821">
        <v>0</v>
      </c>
      <c r="F14" s="757">
        <f t="shared" ref="F14:F44" si="6">IF(OR(A14=58,A14=59,A14=60,A14=61,A14=62,A14=63,A14=64,A14=65,A14=66,A14=67,A14=68,A14=69,A14=72,A14=73,A14=74,A14=75,A14=76,A14=77,A14=78,A14=79,A14=80,A14=81,A14=82,A14=83,A14=84,A14=85,A14=86,A14=87,A14=88,A14=89,A14=90,A14=91,A14=92,A14=93,A14=97,A14=98,A14=99,A14=100),0,IF(365-G14-I14&lt;0,0,365-G14-I14))</f>
        <v>365</v>
      </c>
      <c r="G14" s="821">
        <v>0</v>
      </c>
      <c r="H14" s="820" t="s">
        <v>107</v>
      </c>
      <c r="I14" s="821">
        <v>0</v>
      </c>
      <c r="J14" s="758">
        <f>IF(A14=6,IF(D14&lt;=8000,0.0075*D14+69,0.007*D14+73),IF(A14=7,IF(D14&lt;=8000,0.0075*D14+64,0.0085*D14+56),IF(A14=101,IF(D14&lt;=8000,0.0073*D14+51,0.0085*D14+32),IF(A14=8,IF(D14&lt;=8000,0.007*D14+61,0.009*D14+44.667),IF(A14=9,IF(D14&lt;=8000,0.0075*D14+47,0.009*D14+23),IF(A14=10,IF(D14&lt;=8000,0.0075*D14+45,0.0093*D14+27),IF(A14=11,IF(D14&lt;=7000,0.0075*D14+38.5,0.01*D14+21),IF(A14=51,0.0058*D14+7.0627,IF(A14=52,0.0055*D14+6.8356,IF(A14=53,0.0052*D14+6.0136,VLOOKUP(B14,'Daten Tierhaltung'!$B$7:$J$110,4,FALSE)))))))))))</f>
        <v>0</v>
      </c>
      <c r="K14" s="758">
        <f>IF(A14=6,IF(D14&lt;=8000,0.0035*D14+15,0.002*D14+27),IF(A14=7,IF(D14&lt;=8000,0.003*D14+19,0.0025*D14+23),IF(A14=101,IF(D14&lt;=8000,0.0015*D14+24,0.0015*D14+26),IF(A14=8,IF(D14&lt;=8000,0.0025*D14+22,0.0025*D14+22),IF(A14=9,IF(D14&lt;=8000,0.0015*D14+23,0.0015*D14+24),IF(A14=10,IF(D14&lt;=8000,0.001*D14+27,0.001*D14+31.5),IF(A14=11,IF(D14&lt;=7000,0.002*D14+2.2,0.001*D14+7.5),IF(A14=51,0.0009*D14+4.1288,IF(A14=52,0.0014*D14+3.0932,IF(A14=53,0.0006*D14+3.3542,VLOOKUP(B14,'Daten Tierhaltung'!$B$7:$J$110,5,FALSE)))))))))))</f>
        <v>0</v>
      </c>
      <c r="L14" s="758">
        <f>IF(A14=6,IF(D14&lt;=8000,0.004*D14+110,0.004*D14+110),IF(A14=7,IF(D14&lt;=8000,0.0025*D14+114,0.0045*D14+98),IF(A14=101,IF(D14&lt;=8000,0.0025*D14+98,0.0045*D14+96),IF(A14=8,IF(D14&lt;=8000,0.007*D14+67,0.004*D14+91),IF(A14=9,IF(D14&lt;=8000,0.006*D14+68,0.0045*D14+80),IF(A14=10,IF(D14&lt;=8000,0.006*D14+58,0.0045*D14+80),IF(A14=11,IF(D14&lt;=7000,0.006*D14+54,0.006*D14+54),IF(A14=51,0.0023*D14+3.9271,IF(A14=52,0.0028*D14+3.3915,IF(A14=53,0.0024*D14+3.522,VLOOKUP(B14,'Daten Tierhaltung'!$B$7:$J$110,6,FALSE)))))))))))</f>
        <v>0</v>
      </c>
      <c r="M14" s="758">
        <f t="shared" ref="M14:M44" si="7">O14+Q14</f>
        <v>0</v>
      </c>
      <c r="N14" s="758" t="str">
        <f>IF(C14="Abgabe an andere Betriebe",E14*J14*(($F14/365*VLOOKUP(B14,'Daten Tierhaltung'!$B$7:$S$110,17,FALSE))+(($G14/365*VLOOKUP(B14,'Daten Tierhaltung'!$B$7:$S$110,18,FALSE)))),"0")</f>
        <v>0</v>
      </c>
      <c r="O14" s="758">
        <f>IF(C14="auf selbst bewirtschaft. Flächen",E14*J14*(($F14/365*VLOOKUP(B14,'Daten Tierhaltung'!$B$7:$S$110,17,FALSE))+(($G14/365*VLOOKUP(B14,'Daten Tierhaltung'!$B$7:$S$110,18,FALSE)))),"0")</f>
        <v>0</v>
      </c>
      <c r="P14" s="753">
        <f>E14*I14/365*VLOOKUP(B14,'Daten Tierhaltung'!$B$7:$V$110,18,FALSE)*J14</f>
        <v>0</v>
      </c>
      <c r="Q14" s="753" t="str">
        <f>IF(C14="in eigene Biogasanlage",E14*J14*((0.95*F14/365*VLOOKUP(B14,'Daten Tierhaltung'!$B$7:$V$110,17,FALSE))+((0.95*G14/365*VLOOKUP(B14,'Daten Tierhaltung'!$B$7:$V$110,18,FALSE)))),"0")</f>
        <v>0</v>
      </c>
      <c r="R14" s="20">
        <f>E14*IF(A14=6,IF(D14&lt;=8000,0.0015*D14+99,0.001*D14+103),IF(A14=7,IF(D14&lt;=8000,0.0005*D14+95,0.001*D14+91),IF(A14=101,IF(D14&lt;=8000,0.005*D14+56,0.005*D14+56),IF(A14=8,IF(D14&lt;=8000,0.0035*D14+65,0.002*D14+77),IF(A14=9,IF(D14&lt;=8000,0.0035*D14+51,0.003*D14+59),IF(A14=10,IF(D14&lt;=8000,0.0035*D14+50.5,0.0035*D14+56),IF(A14=11,IF(D14&lt;=7000,0.0035*D14+50,0.0025*D14+57.5),VLOOKUP(B14,'Daten Tierhaltung'!$B$7:$J$110,7,FALSE))))))))</f>
        <v>0</v>
      </c>
      <c r="S14" s="20">
        <f>E14*IF(A14=6,IF(D14&lt;=8000,0.0005*D14+30,0.001*D14+26),IF(A14=7,IF(D14&lt;=8000,0.0005*D14+28,0.0005*D14+28),IF(A14=101,IF(D14&lt;=8000,0.0015*D14+18.5,0.0015*D14+19.5),IF(A14=8,IF(D14&lt;=8000,0.0015*D14+19,0.0008*D14+25),IF(A14=9,IF(D14&lt;=8000,0.0015*D14+17,0.0015*D14+17.5),IF(A14=10,IF(D14&lt;=8000,0.001*D14+18.3,0.001*D14+20.4),IF(A14=11,IF(D14&lt;=7000,0.0013*D14+15,0.0013*D14+15.75),VLOOKUP(B14,'Daten Tierhaltung'!$B$7:$J$110,8,FALSE))))))))</f>
        <v>0</v>
      </c>
      <c r="T14" s="20">
        <f>E14*IF(A14=6,IF(D14&lt;=8000,0.002*D14+115,0.0015*D14+119),IF(A14=7,IF(D14&lt;=8000,0.0005*D14+118,0.001*D14+114),IF(A14=101,IF(D14&lt;=8000,0.0005*D14+76,0.001*D14+80),IF(A14=8,IF(D14&lt;=8000,0.004*D14+75,0.003*D14+83),IF(A14=9,IF(D14&lt;=8000,0.004*D14+69,0.0028*D14+79),IF(A14=10,IF(D14&lt;=8000,0.004*D14+60,0.0028*D14+75),IF(A14=11,IF(D14&lt;=7000,0.0045*D14+55,0.0025*D14+69.5),VLOOKUP(B14,'Daten Tierhaltung'!$B$7:$J$110,9,FALSE))))))))</f>
        <v>0</v>
      </c>
      <c r="U14" s="20">
        <f>IF(B14="leer",0,IF(G14&gt;60.8333,(IF(OR(A14=6,A14=7,A14=8,A14=9, A14=10, A14=101),IF(D14&lt;8000,(0.15*D14+6300)/1000,(0.25*D14+5500)/1000),IF(A14=11,(0.25*D14+5650)/1000,VLOOKUP(B14,'Daten Tierhaltung'!$B$7:$Q$110,11,FALSE))))*1/3*Tierhaltung!E14,IF(OR(A14=6,A14=7,A14=8,A14=9, A14=10,A14=101),(0.15*D14+6300)/1000,IF(A14=11,(0.25*D14+5650)/1000,VLOOKUP(B14,'Daten Tierhaltung'!$B$7:$Z$110,11,FALSE)))*G14*E14/182.5))</f>
        <v>0</v>
      </c>
      <c r="V14" s="20">
        <f>IF(B14="leer",0,IF(F14&gt;182.5,IF(OR(A14=6,A14=7,A14=8,A14=9,A14=10,A14=101),(0.25*D14+8000)/1000,VLOOKUP(B14,'Daten Tierhaltung'!$B$7:$Q$81,13,FALSE))*E14,IF(OR(A14=6,A14=7,A14=8,A14=9,A14=10,A14=101),(0.25*D14+8000)/1000,VLOOKUP(B14,'Daten Tierhaltung'!$B$7:$Z$110,13,FALSE))*E14*F14/182.5))</f>
        <v>0</v>
      </c>
      <c r="W14" s="20">
        <f t="shared" si="0"/>
        <v>0</v>
      </c>
      <c r="X14" s="394">
        <f>SUM(V14:W14)</f>
        <v>0</v>
      </c>
      <c r="Y14" s="394">
        <f>IF(B14="leer",0,(IF(F14&gt;=182.5,0,IF(I14&gt;=182.5,(365-I14-F14)*IF(OR(A14=6,A14=7,A14=8,A14=9,A14=10,A14=101),((0.1*D14+2400)/1000)/182.5,VLOOKUP(B14,'Daten Tierhaltung'!$B$7:$Q$110,16,FALSE)),(182.5-F14)*IF(OR(A14=6,A14=7,A14=8,A14=9,A14=10,A14=101),((0.1*D14+2400)/1000)/182.5,(VLOOKUP(B14,'Daten Tierhaltung'!$B$7:$Q$110,16,FALSE)))))))</f>
        <v>0</v>
      </c>
      <c r="Z14" s="394">
        <f>IF(B14="leer",0,(IF(F14&gt;=182.5,0,IF(I14&gt;=182.5,(365-I14-F14)*IF(OR(A14=6,A14=7,A14=8,A14=9,A14=10,A14=101),((0.1*D14+2400)/1000)/(182.5*2),VLOOKUP(B14,'Daten Tierhaltung'!$B$7:$Q$110,16,FALSE)/2),(182.5-F14)*IF(OR(A14=6,A14=7,A14=8,A14=9,A14=10,A14=101),((0.1*D14+2400)/1000)/(182.5*2),(VLOOKUP(B14,'Daten Tierhaltung'!$B$7:$Z$110,16,FALSE)/2))))))</f>
        <v>0</v>
      </c>
      <c r="AA14" s="394">
        <f t="shared" si="1"/>
        <v>0</v>
      </c>
      <c r="AB14" s="394">
        <f>E14*J14*(F14/365*VLOOKUP(B14,'Daten Tierhaltung'!$B$7:$Z$110,22,FALSE)/100+(G14/365*VLOOKUP(B14,'Daten Tierhaltung'!$B$7:$Z$110,23,FALSE))/100)</f>
        <v>0</v>
      </c>
      <c r="AC14" s="394">
        <f>IF(C14="Abgabe an andere Betriebe",0,IF(C14="in eigene Biogasanlage",(E14*J14*((F14+G14)/365)-AB14)*0.1,IF(C14="auf selbst bewirtschaft. Flächen",(E14*J14*((F14+G14)/365)-AB14)*((F14/365*VLOOKUP(B14,'Daten Tierhaltung'!$B$7:$Z$110,24,FALSE)+(G14+I14)/365*VLOOKUP(B14,'Daten Tierhaltung'!$B$7:$Z$110,25,FALSE))/100),0)))</f>
        <v>0</v>
      </c>
      <c r="AD14" s="394">
        <f t="shared" si="2"/>
        <v>0</v>
      </c>
      <c r="AE14" s="20">
        <f t="shared" si="3"/>
        <v>0</v>
      </c>
      <c r="AF14" s="20">
        <f t="shared" si="4"/>
        <v>0</v>
      </c>
      <c r="AG14" s="20">
        <f t="shared" si="5"/>
        <v>0</v>
      </c>
    </row>
    <row r="15" spans="1:33" s="363" customFormat="1">
      <c r="A15" s="1056">
        <f>VLOOKUP(B15,'Daten Tierhaltung'!$B$7:$Z$108,2,FALSE)</f>
        <v>0</v>
      </c>
      <c r="B15" s="820" t="s">
        <v>163</v>
      </c>
      <c r="C15" s="820" t="s">
        <v>223</v>
      </c>
      <c r="D15" s="821">
        <v>0</v>
      </c>
      <c r="E15" s="821">
        <v>0</v>
      </c>
      <c r="F15" s="757">
        <f t="shared" si="6"/>
        <v>365</v>
      </c>
      <c r="G15" s="821">
        <v>0</v>
      </c>
      <c r="H15" s="820" t="s">
        <v>107</v>
      </c>
      <c r="I15" s="821">
        <v>0</v>
      </c>
      <c r="J15" s="758">
        <f>IF(A15=6,IF(D15&lt;=8000,0.0075*D15+69,0.007*D15+73),IF(A15=7,IF(D15&lt;=8000,0.0075*D15+64,0.0085*D15+56),IF(A15=101,IF(D15&lt;=8000,0.0073*D15+51,0.0085*D15+32),IF(A15=8,IF(D15&lt;=8000,0.007*D15+61,0.009*D15+44.667),IF(A15=9,IF(D15&lt;=8000,0.0075*D15+47,0.009*D15+23),IF(A15=10,IF(D15&lt;=8000,0.0075*D15+45,0.0093*D15+27),IF(A15=11,IF(D15&lt;=7000,0.0075*D15+38.5,0.01*D15+21),IF(A15=51,0.0058*D15+7.0627,IF(A15=52,0.0055*D15+6.8356,IF(A15=53,0.0052*D15+6.0136,VLOOKUP(B15,'Daten Tierhaltung'!$B$7:$J$110,4,FALSE)))))))))))</f>
        <v>0</v>
      </c>
      <c r="K15" s="758">
        <f>IF(A15=6,IF(D15&lt;=8000,0.0035*D15+15,0.002*D15+27),IF(A15=7,IF(D15&lt;=8000,0.003*D15+19,0.0025*D15+23),IF(A15=101,IF(D15&lt;=8000,0.0015*D15+24,0.0015*D15+26),IF(A15=8,IF(D15&lt;=8000,0.0025*D15+22,0.0025*D15+22),IF(A15=9,IF(D15&lt;=8000,0.0015*D15+23,0.0015*D15+24),IF(A15=10,IF(D15&lt;=8000,0.001*D15+27,0.001*D15+31.5),IF(A15=11,IF(D15&lt;=7000,0.002*D15+2.2,0.001*D15+7.5),IF(A15=51,0.0009*D15+4.1288,IF(A15=52,0.0014*D15+3.0932,IF(A15=53,0.0006*D15+3.3542,VLOOKUP(B15,'Daten Tierhaltung'!$B$7:$J$110,5,FALSE)))))))))))</f>
        <v>0</v>
      </c>
      <c r="L15" s="758">
        <f>IF(A15=6,IF(D15&lt;=8000,0.004*D15+110,0.004*D15+110),IF(A15=7,IF(D15&lt;=8000,0.0025*D15+114,0.0045*D15+98),IF(A15=101,IF(D15&lt;=8000,0.0025*D15+98,0.0045*D15+96),IF(A15=8,IF(D15&lt;=8000,0.007*D15+67,0.004*D15+91),IF(A15=9,IF(D15&lt;=8000,0.006*D15+68,0.0045*D15+80),IF(A15=10,IF(D15&lt;=8000,0.006*D15+58,0.0045*D15+80),IF(A15=11,IF(D15&lt;=7000,0.006*D15+54,0.006*D15+54),IF(A15=51,0.0023*D15+3.9271,IF(A15=52,0.0028*D15+3.3915,IF(A15=53,0.0024*D15+3.522,VLOOKUP(B15,'Daten Tierhaltung'!$B$7:$J$110,6,FALSE)))))))))))</f>
        <v>0</v>
      </c>
      <c r="M15" s="758">
        <f t="shared" si="7"/>
        <v>0</v>
      </c>
      <c r="N15" s="758" t="str">
        <f>IF(C15="Abgabe an andere Betriebe",E15*J15*(($F15/365*VLOOKUP(B15,'Daten Tierhaltung'!$B$7:$S$110,17,FALSE))+(($G15/365*VLOOKUP(B15,'Daten Tierhaltung'!$B$7:$S$110,18,FALSE)))),"0")</f>
        <v>0</v>
      </c>
      <c r="O15" s="758">
        <f>IF(C15="auf selbst bewirtschaft. Flächen",E15*J15*(($F15/365*VLOOKUP(B15,'Daten Tierhaltung'!$B$7:$S$110,17,FALSE))+(($G15/365*VLOOKUP(B15,'Daten Tierhaltung'!$B$7:$S$110,18,FALSE)))),"0")</f>
        <v>0</v>
      </c>
      <c r="P15" s="753">
        <f>E15*I15/365*VLOOKUP(B15,'Daten Tierhaltung'!$B$7:$V$110,18,FALSE)*J15</f>
        <v>0</v>
      </c>
      <c r="Q15" s="753" t="str">
        <f>IF(C15="in eigene Biogasanlage",E15*J15*((0.95*F15/365*VLOOKUP(B15,'Daten Tierhaltung'!$B$7:$V$110,17,FALSE))+((0.95*G15/365*VLOOKUP(B15,'Daten Tierhaltung'!$B$7:$V$110,18,FALSE)))),"0")</f>
        <v>0</v>
      </c>
      <c r="R15" s="20">
        <f>E15*IF(A15=6,IF(D15&lt;=8000,0.0015*D15+99,0.001*D15+103),IF(A15=7,IF(D15&lt;=8000,0.0005*D15+95,0.001*D15+91),IF(A15=101,IF(D15&lt;=8000,0.005*D15+56,0.005*D15+56),IF(A15=8,IF(D15&lt;=8000,0.0035*D15+65,0.002*D15+77),IF(A15=9,IF(D15&lt;=8000,0.0035*D15+51,0.003*D15+59),IF(A15=10,IF(D15&lt;=8000,0.0035*D15+50.5,0.0035*D15+56),IF(A15=11,IF(D15&lt;=7000,0.0035*D15+50,0.0025*D15+57.5),VLOOKUP(B15,'Daten Tierhaltung'!$B$7:$J$110,7,FALSE))))))))</f>
        <v>0</v>
      </c>
      <c r="S15" s="20">
        <f>E15*IF(A15=6,IF(D15&lt;=8000,0.0005*D15+30,0.001*D15+26),IF(A15=7,IF(D15&lt;=8000,0.0005*D15+28,0.0005*D15+28),IF(A15=101,IF(D15&lt;=8000,0.0015*D15+18.5,0.0015*D15+19.5),IF(A15=8,IF(D15&lt;=8000,0.0015*D15+19,0.0008*D15+25),IF(A15=9,IF(D15&lt;=8000,0.0015*D15+17,0.0015*D15+17.5),IF(A15=10,IF(D15&lt;=8000,0.001*D15+18.3,0.001*D15+20.4),IF(A15=11,IF(D15&lt;=7000,0.0013*D15+15,0.0013*D15+15.75),VLOOKUP(B15,'Daten Tierhaltung'!$B$7:$J$110,8,FALSE))))))))</f>
        <v>0</v>
      </c>
      <c r="T15" s="20">
        <f>E15*IF(A15=6,IF(D15&lt;=8000,0.002*D15+115,0.0015*D15+119),IF(A15=7,IF(D15&lt;=8000,0.0005*D15+118,0.001*D15+114),IF(A15=101,IF(D15&lt;=8000,0.0005*D15+76,0.001*D15+80),IF(A15=8,IF(D15&lt;=8000,0.004*D15+75,0.003*D15+83),IF(A15=9,IF(D15&lt;=8000,0.004*D15+69,0.0028*D15+79),IF(A15=10,IF(D15&lt;=8000,0.004*D15+60,0.0028*D15+75),IF(A15=11,IF(D15&lt;=7000,0.0045*D15+55,0.0025*D15+69.5),VLOOKUP(B15,'Daten Tierhaltung'!$B$7:$J$110,9,FALSE))))))))</f>
        <v>0</v>
      </c>
      <c r="U15" s="20">
        <f>IF(B15="leer",0,IF(G15&gt;60.8333,(IF(OR(A15=6,A15=7,A15=8,A15=9, A15=10, A15=101),IF(D15&lt;8000,(0.15*D15+6300)/1000,(0.25*D15+5500)/1000),IF(A15=11,(0.25*D15+5650)/1000,VLOOKUP(B15,'Daten Tierhaltung'!$B$7:$Q$110,11,FALSE))))*1/3*Tierhaltung!E15,IF(OR(A15=6,A15=7,A15=8,A15=9, A15=10,A15=101),(0.15*D15+6300)/1000,IF(A15=11,(0.25*D15+5650)/1000,VLOOKUP(B15,'Daten Tierhaltung'!$B$7:$Z$110,11,FALSE)))*G15*E15/182.5))</f>
        <v>0</v>
      </c>
      <c r="V15" s="20">
        <f>IF(B15="leer",0,IF(F15&gt;182.5,IF(OR(A15=6,A15=7,A15=8,A15=9,A15=10,A15=101),(0.25*D15+8000)/1000,VLOOKUP(B15,'Daten Tierhaltung'!$B$7:$Q$81,13,FALSE))*E15,IF(OR(A15=6,A15=7,A15=8,A15=9,A15=10,A15=101),(0.25*D15+8000)/1000,VLOOKUP(B15,'Daten Tierhaltung'!$B$7:$Z$110,13,FALSE))*E15*F15/182.5))</f>
        <v>0</v>
      </c>
      <c r="W15" s="20">
        <f t="shared" si="0"/>
        <v>0</v>
      </c>
      <c r="X15" s="394">
        <f t="shared" ref="X15:X44" si="8">SUM(V15:W15)</f>
        <v>0</v>
      </c>
      <c r="Y15" s="394">
        <f>IF(B15="leer",0,(IF(F15&gt;=182.5,0,IF(I15&gt;=182.5,(365-I15-F15)*IF(OR(A15=6,A15=7,A15=8,A15=9,A15=10,A15=101),((0.1*D15+2400)/1000)/182.5,VLOOKUP(B15,'Daten Tierhaltung'!$B$7:$Q$110,16,FALSE)),(182.5-F15)*IF(OR(A15=6,A15=7,A15=8,A15=9,A15=10,A15=101),((0.1*D15+2400)/1000)/182.5,(VLOOKUP(B15,'Daten Tierhaltung'!$B$7:$Q$110,16,FALSE)))))))</f>
        <v>0</v>
      </c>
      <c r="Z15" s="394">
        <f>IF(B15="leer",0,(IF(F15&gt;=182.5,0,IF(I15&gt;=182.5,(365-I15-F15)*IF(OR(A15=6,A15=7,A15=8,A15=9,A15=10,A15=101),((0.1*D15+2400)/1000)/(182.5*2),VLOOKUP(B15,'Daten Tierhaltung'!$B$7:$Q$110,16,FALSE)/2),(182.5-F15)*IF(OR(A15=6,A15=7,A15=8,A15=9,A15=10,A15=101),((0.1*D15+2400)/1000)/(182.5*2),(VLOOKUP(B15,'Daten Tierhaltung'!$B$7:$Z$110,16,FALSE)/2))))))</f>
        <v>0</v>
      </c>
      <c r="AA15" s="394">
        <f t="shared" si="1"/>
        <v>0</v>
      </c>
      <c r="AB15" s="394">
        <f>E15*J15*(F15/365*VLOOKUP(B15,'Daten Tierhaltung'!$B$7:$Z$110,22,FALSE)/100+(G15/365*VLOOKUP(B15,'Daten Tierhaltung'!$B$7:$Z$110,23,FALSE))/100)</f>
        <v>0</v>
      </c>
      <c r="AC15" s="394">
        <f>IF(C15="Abgabe an andere Betriebe",0,IF(C15="in eigene Biogasanlage",(E15*J15*((F15+G15)/365)-AB15)*0.1,IF(C15="auf selbst bewirtschaft. Flächen",(E15*J15*((F15+G15)/365)-AB15)*((F15/365*VLOOKUP(B15,'Daten Tierhaltung'!$B$7:$Z$110,24,FALSE)+(G15+I15)/365*VLOOKUP(B15,'Daten Tierhaltung'!$B$7:$Z$110,25,FALSE))/100),0)))</f>
        <v>0</v>
      </c>
      <c r="AD15" s="394">
        <f t="shared" si="2"/>
        <v>0</v>
      </c>
      <c r="AE15" s="20">
        <f t="shared" si="3"/>
        <v>0</v>
      </c>
      <c r="AF15" s="20">
        <f t="shared" si="4"/>
        <v>0</v>
      </c>
      <c r="AG15" s="20">
        <f t="shared" si="5"/>
        <v>0</v>
      </c>
    </row>
    <row r="16" spans="1:33" s="363" customFormat="1">
      <c r="A16" s="1056">
        <f>VLOOKUP(B16,'Daten Tierhaltung'!$B$7:$Z$108,2,FALSE)</f>
        <v>0</v>
      </c>
      <c r="B16" s="820" t="s">
        <v>163</v>
      </c>
      <c r="C16" s="820" t="s">
        <v>223</v>
      </c>
      <c r="D16" s="821">
        <v>0</v>
      </c>
      <c r="E16" s="821">
        <v>0</v>
      </c>
      <c r="F16" s="757">
        <f t="shared" si="6"/>
        <v>365</v>
      </c>
      <c r="G16" s="821">
        <v>0</v>
      </c>
      <c r="H16" s="820" t="s">
        <v>107</v>
      </c>
      <c r="I16" s="821">
        <v>0</v>
      </c>
      <c r="J16" s="758">
        <f>IF(A16=6,IF(D16&lt;=8000,0.0075*D16+69,0.007*D16+73),IF(A16=7,IF(D16&lt;=8000,0.0075*D16+64,0.0085*D16+56),IF(A16=101,IF(D16&lt;=8000,0.0073*D16+51,0.0085*D16+32),IF(A16=8,IF(D16&lt;=8000,0.007*D16+61,0.009*D16+44.667),IF(A16=9,IF(D16&lt;=8000,0.0075*D16+47,0.009*D16+23),IF(A16=10,IF(D16&lt;=8000,0.0075*D16+45,0.0093*D16+27),IF(A16=11,IF(D16&lt;=7000,0.0075*D16+38.5,0.01*D16+21),IF(A16=51,0.0058*D16+7.0627,IF(A16=52,0.0055*D16+6.8356,IF(A16=53,0.0052*D16+6.0136,VLOOKUP(B16,'Daten Tierhaltung'!$B$7:$J$110,4,FALSE)))))))))))</f>
        <v>0</v>
      </c>
      <c r="K16" s="758">
        <f>IF(A16=6,IF(D16&lt;=8000,0.0035*D16+15,0.002*D16+27),IF(A16=7,IF(D16&lt;=8000,0.003*D16+19,0.0025*D16+23),IF(A16=101,IF(D16&lt;=8000,0.0015*D16+24,0.0015*D16+26),IF(A16=8,IF(D16&lt;=8000,0.0025*D16+22,0.0025*D16+22),IF(A16=9,IF(D16&lt;=8000,0.0015*D16+23,0.0015*D16+24),IF(A16=10,IF(D16&lt;=8000,0.001*D16+27,0.001*D16+31.5),IF(A16=11,IF(D16&lt;=7000,0.002*D16+2.2,0.001*D16+7.5),IF(A16=51,0.0009*D16+4.1288,IF(A16=52,0.0014*D16+3.0932,IF(A16=53,0.0006*D16+3.3542,VLOOKUP(B16,'Daten Tierhaltung'!$B$7:$J$110,5,FALSE)))))))))))</f>
        <v>0</v>
      </c>
      <c r="L16" s="758">
        <f>IF(A16=6,IF(D16&lt;=8000,0.004*D16+110,0.004*D16+110),IF(A16=7,IF(D16&lt;=8000,0.0025*D16+114,0.0045*D16+98),IF(A16=101,IF(D16&lt;=8000,0.0025*D16+98,0.0045*D16+96),IF(A16=8,IF(D16&lt;=8000,0.007*D16+67,0.004*D16+91),IF(A16=9,IF(D16&lt;=8000,0.006*D16+68,0.0045*D16+80),IF(A16=10,IF(D16&lt;=8000,0.006*D16+58,0.0045*D16+80),IF(A16=11,IF(D16&lt;=7000,0.006*D16+54,0.006*D16+54),IF(A16=51,0.0023*D16+3.9271,IF(A16=52,0.0028*D16+3.3915,IF(A16=53,0.0024*D16+3.522,VLOOKUP(B16,'Daten Tierhaltung'!$B$7:$J$110,6,FALSE)))))))))))</f>
        <v>0</v>
      </c>
      <c r="M16" s="758">
        <f t="shared" si="7"/>
        <v>0</v>
      </c>
      <c r="N16" s="758" t="str">
        <f>IF(C16="Abgabe an andere Betriebe",E16*J16*(($F16/365*VLOOKUP(B16,'Daten Tierhaltung'!$B$7:$S$110,17,FALSE))+(($G16/365*VLOOKUP(B16,'Daten Tierhaltung'!$B$7:$S$110,18,FALSE)))),"0")</f>
        <v>0</v>
      </c>
      <c r="O16" s="758">
        <f>IF(C16="auf selbst bewirtschaft. Flächen",E16*J16*(($F16/365*VLOOKUP(B16,'Daten Tierhaltung'!$B$7:$S$110,17,FALSE))+(($G16/365*VLOOKUP(B16,'Daten Tierhaltung'!$B$7:$S$110,18,FALSE)))),"0")</f>
        <v>0</v>
      </c>
      <c r="P16" s="753">
        <f>E16*I16/365*VLOOKUP(B16,'Daten Tierhaltung'!$B$7:$V$110,18,FALSE)*J16</f>
        <v>0</v>
      </c>
      <c r="Q16" s="753" t="str">
        <f>IF(C16="in eigene Biogasanlage",E16*J16*((0.95*F16/365*VLOOKUP(B16,'Daten Tierhaltung'!$B$7:$V$110,17,FALSE))+((0.95*G16/365*VLOOKUP(B16,'Daten Tierhaltung'!$B$7:$V$110,18,FALSE)))),"0")</f>
        <v>0</v>
      </c>
      <c r="R16" s="20">
        <f>E16*IF(A16=6,IF(D16&lt;=8000,0.0015*D16+99,0.001*D16+103),IF(A16=7,IF(D16&lt;=8000,0.0005*D16+95,0.001*D16+91),IF(A16=101,IF(D16&lt;=8000,0.005*D16+56,0.005*D16+56),IF(A16=8,IF(D16&lt;=8000,0.0035*D16+65,0.002*D16+77),IF(A16=9,IF(D16&lt;=8000,0.0035*D16+51,0.003*D16+59),IF(A16=10,IF(D16&lt;=8000,0.0035*D16+50.5,0.0035*D16+56),IF(A16=11,IF(D16&lt;=7000,0.0035*D16+50,0.0025*D16+57.5),VLOOKUP(B16,'Daten Tierhaltung'!$B$7:$J$110,7,FALSE))))))))</f>
        <v>0</v>
      </c>
      <c r="S16" s="20">
        <f>E16*IF(A16=6,IF(D16&lt;=8000,0.0005*D16+30,0.001*D16+26),IF(A16=7,IF(D16&lt;=8000,0.0005*D16+28,0.0005*D16+28),IF(A16=101,IF(D16&lt;=8000,0.0015*D16+18.5,0.0015*D16+19.5),IF(A16=8,IF(D16&lt;=8000,0.0015*D16+19,0.0008*D16+25),IF(A16=9,IF(D16&lt;=8000,0.0015*D16+17,0.0015*D16+17.5),IF(A16=10,IF(D16&lt;=8000,0.001*D16+18.3,0.001*D16+20.4),IF(A16=11,IF(D16&lt;=7000,0.0013*D16+15,0.0013*D16+15.75),VLOOKUP(B16,'Daten Tierhaltung'!$B$7:$J$110,8,FALSE))))))))</f>
        <v>0</v>
      </c>
      <c r="T16" s="20">
        <f>E16*IF(A16=6,IF(D16&lt;=8000,0.002*D16+115,0.0015*D16+119),IF(A16=7,IF(D16&lt;=8000,0.0005*D16+118,0.001*D16+114),IF(A16=101,IF(D16&lt;=8000,0.0005*D16+76,0.001*D16+80),IF(A16=8,IF(D16&lt;=8000,0.004*D16+75,0.003*D16+83),IF(A16=9,IF(D16&lt;=8000,0.004*D16+69,0.0028*D16+79),IF(A16=10,IF(D16&lt;=8000,0.004*D16+60,0.0028*D16+75),IF(A16=11,IF(D16&lt;=7000,0.0045*D16+55,0.0025*D16+69.5),VLOOKUP(B16,'Daten Tierhaltung'!$B$7:$J$110,9,FALSE))))))))</f>
        <v>0</v>
      </c>
      <c r="U16" s="20">
        <f>IF(B16="leer",0,IF(G16&gt;60.8333,(IF(OR(A16=6,A16=7,A16=8,A16=9, A16=10, A16=101),IF(D16&lt;8000,(0.15*D16+6300)/1000,(0.25*D16+5500)/1000),IF(A16=11,(0.25*D16+5650)/1000,VLOOKUP(B16,'Daten Tierhaltung'!$B$7:$Q$110,11,FALSE))))*1/3*Tierhaltung!E16,IF(OR(A16=6,A16=7,A16=8,A16=9, A16=10,A16=101),(0.15*D16+6300)/1000,IF(A16=11,(0.25*D16+5650)/1000,VLOOKUP(B16,'Daten Tierhaltung'!$B$7:$Z$110,11,FALSE)))*G16*E16/182.5))</f>
        <v>0</v>
      </c>
      <c r="V16" s="20">
        <f>IF(B16="leer",0,IF(F16&gt;182.5,IF(OR(A16=6,A16=7,A16=8,A16=9,A16=10,A16=101),(0.25*D16+8000)/1000,VLOOKUP(B16,'Daten Tierhaltung'!$B$7:$Q$81,13,FALSE))*E16,IF(OR(A16=6,A16=7,A16=8,A16=9,A16=10,A16=101),(0.25*D16+8000)/1000,VLOOKUP(B16,'Daten Tierhaltung'!$B$7:$Z$110,13,FALSE))*E16*F16/182.5))</f>
        <v>0</v>
      </c>
      <c r="W16" s="20">
        <f t="shared" si="0"/>
        <v>0</v>
      </c>
      <c r="X16" s="394">
        <f t="shared" si="8"/>
        <v>0</v>
      </c>
      <c r="Y16" s="394">
        <f>IF(B16="leer",0,(IF(F16&gt;=182.5,0,IF(I16&gt;=182.5,(365-I16-F16)*IF(OR(A16=6,A16=7,A16=8,A16=9,A16=10,A16=101),((0.1*D16+2400)/1000)/182.5,VLOOKUP(B16,'Daten Tierhaltung'!$B$7:$Q$110,16,FALSE)),(182.5-F16)*IF(OR(A16=6,A16=7,A16=8,A16=9,A16=10,A16=101),((0.1*D16+2400)/1000)/182.5,(VLOOKUP(B16,'Daten Tierhaltung'!$B$7:$Q$110,16,FALSE)))))))</f>
        <v>0</v>
      </c>
      <c r="Z16" s="394">
        <f>IF(B16="leer",0,(IF(F16&gt;=182.5,0,IF(I16&gt;=182.5,(365-I16-F16)*IF(OR(A16=6,A16=7,A16=8,A16=9,A16=10,A16=101),((0.1*D16+2400)/1000)/(182.5*2),VLOOKUP(B16,'Daten Tierhaltung'!$B$7:$Q$110,16,FALSE)/2),(182.5-F16)*IF(OR(A16=6,A16=7,A16=8,A16=9,A16=10,A16=101),((0.1*D16+2400)/1000)/(182.5*2),(VLOOKUP(B16,'Daten Tierhaltung'!$B$7:$Z$110,16,FALSE)/2))))))</f>
        <v>0</v>
      </c>
      <c r="AA16" s="394">
        <f t="shared" si="1"/>
        <v>0</v>
      </c>
      <c r="AB16" s="394">
        <f>E16*J16*(F16/365*VLOOKUP(B16,'Daten Tierhaltung'!$B$7:$Z$110,22,FALSE)/100+(G16/365*VLOOKUP(B16,'Daten Tierhaltung'!$B$7:$Z$110,23,FALSE))/100)</f>
        <v>0</v>
      </c>
      <c r="AC16" s="394">
        <f>IF(C16="Abgabe an andere Betriebe",0,IF(C16="in eigene Biogasanlage",(E16*J16*((F16+G16)/365)-AB16)*0.1,IF(C16="auf selbst bewirtschaft. Flächen",(E16*J16*((F16+G16)/365)-AB16)*((F16/365*VLOOKUP(B16,'Daten Tierhaltung'!$B$7:$Z$110,24,FALSE)+(G16+I16)/365*VLOOKUP(B16,'Daten Tierhaltung'!$B$7:$Z$110,25,FALSE))/100),0)))</f>
        <v>0</v>
      </c>
      <c r="AD16" s="394">
        <f t="shared" si="2"/>
        <v>0</v>
      </c>
      <c r="AE16" s="20">
        <f t="shared" si="3"/>
        <v>0</v>
      </c>
      <c r="AF16" s="20">
        <f t="shared" si="4"/>
        <v>0</v>
      </c>
      <c r="AG16" s="20">
        <f t="shared" si="5"/>
        <v>0</v>
      </c>
    </row>
    <row r="17" spans="1:33" s="363" customFormat="1">
      <c r="A17" s="1056">
        <f>VLOOKUP(B17,'Daten Tierhaltung'!$B$7:$Z$108,2,FALSE)</f>
        <v>0</v>
      </c>
      <c r="B17" s="820" t="s">
        <v>163</v>
      </c>
      <c r="C17" s="820" t="s">
        <v>223</v>
      </c>
      <c r="D17" s="821">
        <v>0</v>
      </c>
      <c r="E17" s="821">
        <v>0</v>
      </c>
      <c r="F17" s="757">
        <f t="shared" si="6"/>
        <v>365</v>
      </c>
      <c r="G17" s="821">
        <v>0</v>
      </c>
      <c r="H17" s="820" t="s">
        <v>107</v>
      </c>
      <c r="I17" s="821">
        <v>0</v>
      </c>
      <c r="J17" s="758">
        <f>IF(A17=6,IF(D17&lt;=8000,0.0075*D17+69,0.007*D17+73),IF(A17=7,IF(D17&lt;=8000,0.0075*D17+64,0.0085*D17+56),IF(A17=101,IF(D17&lt;=8000,0.0073*D17+51,0.0085*D17+32),IF(A17=8,IF(D17&lt;=8000,0.007*D17+61,0.009*D17+44.667),IF(A17=9,IF(D17&lt;=8000,0.0075*D17+47,0.009*D17+23),IF(A17=10,IF(D17&lt;=8000,0.0075*D17+45,0.0093*D17+27),IF(A17=11,IF(D17&lt;=7000,0.0075*D17+38.5,0.01*D17+21),IF(A17=51,0.0058*D17+7.0627,IF(A17=52,0.0055*D17+6.8356,IF(A17=53,0.0052*D17+6.0136,VLOOKUP(B17,'Daten Tierhaltung'!$B$7:$J$110,4,FALSE)))))))))))</f>
        <v>0</v>
      </c>
      <c r="K17" s="758">
        <f>IF(A17=6,IF(D17&lt;=8000,0.0035*D17+15,0.002*D17+27),IF(A17=7,IF(D17&lt;=8000,0.003*D17+19,0.0025*D17+23),IF(A17=101,IF(D17&lt;=8000,0.0015*D17+24,0.0015*D17+26),IF(A17=8,IF(D17&lt;=8000,0.0025*D17+22,0.0025*D17+22),IF(A17=9,IF(D17&lt;=8000,0.0015*D17+23,0.0015*D17+24),IF(A17=10,IF(D17&lt;=8000,0.001*D17+27,0.001*D17+31.5),IF(A17=11,IF(D17&lt;=7000,0.002*D17+2.2,0.001*D17+7.5),IF(A17=51,0.0009*D17+4.1288,IF(A17=52,0.0014*D17+3.0932,IF(A17=53,0.0006*D17+3.3542,VLOOKUP(B17,'Daten Tierhaltung'!$B$7:$J$110,5,FALSE)))))))))))</f>
        <v>0</v>
      </c>
      <c r="L17" s="758">
        <f>IF(A17=6,IF(D17&lt;=8000,0.004*D17+110,0.004*D17+110),IF(A17=7,IF(D17&lt;=8000,0.0025*D17+114,0.0045*D17+98),IF(A17=101,IF(D17&lt;=8000,0.0025*D17+98,0.0045*D17+96),IF(A17=8,IF(D17&lt;=8000,0.007*D17+67,0.004*D17+91),IF(A17=9,IF(D17&lt;=8000,0.006*D17+68,0.0045*D17+80),IF(A17=10,IF(D17&lt;=8000,0.006*D17+58,0.0045*D17+80),IF(A17=11,IF(D17&lt;=7000,0.006*D17+54,0.006*D17+54),IF(A17=51,0.0023*D17+3.9271,IF(A17=52,0.0028*D17+3.3915,IF(A17=53,0.0024*D17+3.522,VLOOKUP(B17,'Daten Tierhaltung'!$B$7:$J$110,6,FALSE)))))))))))</f>
        <v>0</v>
      </c>
      <c r="M17" s="758">
        <f t="shared" si="7"/>
        <v>0</v>
      </c>
      <c r="N17" s="758" t="str">
        <f>IF(C17="Abgabe an andere Betriebe",E17*J17*(($F17/365*VLOOKUP(B17,'Daten Tierhaltung'!$B$7:$S$110,17,FALSE))+(($G17/365*VLOOKUP(B17,'Daten Tierhaltung'!$B$7:$S$110,18,FALSE)))),"0")</f>
        <v>0</v>
      </c>
      <c r="O17" s="758">
        <f>IF(C17="auf selbst bewirtschaft. Flächen",E17*J17*(($F17/365*VLOOKUP(B17,'Daten Tierhaltung'!$B$7:$S$110,17,FALSE))+(($G17/365*VLOOKUP(B17,'Daten Tierhaltung'!$B$7:$S$110,18,FALSE)))),"0")</f>
        <v>0</v>
      </c>
      <c r="P17" s="753">
        <f>E17*I17/365*VLOOKUP(B17,'Daten Tierhaltung'!$B$7:$V$110,18,FALSE)*J17</f>
        <v>0</v>
      </c>
      <c r="Q17" s="753" t="str">
        <f>IF(C17="in eigene Biogasanlage",E17*J17*((0.95*F17/365*VLOOKUP(B17,'Daten Tierhaltung'!$B$7:$V$110,17,FALSE))+((0.95*G17/365*VLOOKUP(B17,'Daten Tierhaltung'!$B$7:$V$110,18,FALSE)))),"0")</f>
        <v>0</v>
      </c>
      <c r="R17" s="20">
        <f>E17*IF(A17=6,IF(D17&lt;=8000,0.0015*D17+99,0.001*D17+103),IF(A17=7,IF(D17&lt;=8000,0.0005*D17+95,0.001*D17+91),IF(A17=101,IF(D17&lt;=8000,0.005*D17+56,0.005*D17+56),IF(A17=8,IF(D17&lt;=8000,0.0035*D17+65,0.002*D17+77),IF(A17=9,IF(D17&lt;=8000,0.0035*D17+51,0.003*D17+59),IF(A17=10,IF(D17&lt;=8000,0.0035*D17+50.5,0.0035*D17+56),IF(A17=11,IF(D17&lt;=7000,0.0035*D17+50,0.0025*D17+57.5),VLOOKUP(B17,'Daten Tierhaltung'!$B$7:$J$110,7,FALSE))))))))</f>
        <v>0</v>
      </c>
      <c r="S17" s="20">
        <f>E17*IF(A17=6,IF(D17&lt;=8000,0.0005*D17+30,0.001*D17+26),IF(A17=7,IF(D17&lt;=8000,0.0005*D17+28,0.0005*D17+28),IF(A17=101,IF(D17&lt;=8000,0.0015*D17+18.5,0.0015*D17+19.5),IF(A17=8,IF(D17&lt;=8000,0.0015*D17+19,0.0008*D17+25),IF(A17=9,IF(D17&lt;=8000,0.0015*D17+17,0.0015*D17+17.5),IF(A17=10,IF(D17&lt;=8000,0.001*D17+18.3,0.001*D17+20.4),IF(A17=11,IF(D17&lt;=7000,0.0013*D17+15,0.0013*D17+15.75),VLOOKUP(B17,'Daten Tierhaltung'!$B$7:$J$110,8,FALSE))))))))</f>
        <v>0</v>
      </c>
      <c r="T17" s="20">
        <f>E17*IF(A17=6,IF(D17&lt;=8000,0.002*D17+115,0.0015*D17+119),IF(A17=7,IF(D17&lt;=8000,0.0005*D17+118,0.001*D17+114),IF(A17=101,IF(D17&lt;=8000,0.0005*D17+76,0.001*D17+80),IF(A17=8,IF(D17&lt;=8000,0.004*D17+75,0.003*D17+83),IF(A17=9,IF(D17&lt;=8000,0.004*D17+69,0.0028*D17+79),IF(A17=10,IF(D17&lt;=8000,0.004*D17+60,0.0028*D17+75),IF(A17=11,IF(D17&lt;=7000,0.0045*D17+55,0.0025*D17+69.5),VLOOKUP(B17,'Daten Tierhaltung'!$B$7:$J$110,9,FALSE))))))))</f>
        <v>0</v>
      </c>
      <c r="U17" s="20">
        <f>IF(B17="leer",0,IF(G17&gt;60.8333,(IF(OR(A17=6,A17=7,A17=8,A17=9, A17=10, A17=101),IF(D17&lt;8000,(0.15*D17+6300)/1000,(0.25*D17+5500)/1000),IF(A17=11,(0.25*D17+5650)/1000,VLOOKUP(B17,'Daten Tierhaltung'!$B$7:$Q$110,11,FALSE))))*1/3*Tierhaltung!E17,IF(OR(A17=6,A17=7,A17=8,A17=9, A17=10,A17=101),(0.15*D17+6300)/1000,IF(A17=11,(0.25*D17+5650)/1000,VLOOKUP(B17,'Daten Tierhaltung'!$B$7:$Z$110,11,FALSE)))*G17*E17/182.5))</f>
        <v>0</v>
      </c>
      <c r="V17" s="20">
        <f>IF(B17="leer",0,IF(F17&gt;182.5,IF(OR(A17=6,A17=7,A17=8,A17=9,A17=10,A17=101),(0.25*D17+8000)/1000,VLOOKUP(B17,'Daten Tierhaltung'!$B$7:$Q$81,13,FALSE))*E17,IF(OR(A17=6,A17=7,A17=8,A17=9,A17=10,A17=101),(0.25*D17+8000)/1000,VLOOKUP(B17,'Daten Tierhaltung'!$B$7:$Z$110,13,FALSE))*E17*F17/182.5))</f>
        <v>0</v>
      </c>
      <c r="W17" s="20">
        <f t="shared" si="0"/>
        <v>0</v>
      </c>
      <c r="X17" s="394">
        <f t="shared" si="8"/>
        <v>0</v>
      </c>
      <c r="Y17" s="394">
        <f>IF(B17="leer",0,(IF(F17&gt;=182.5,0,IF(I17&gt;=182.5,(365-I17-F17)*IF(OR(A17=6,A17=7,A17=8,A17=9,A17=10,A17=101),((0.1*D17+2400)/1000)/182.5,VLOOKUP(B17,'Daten Tierhaltung'!$B$7:$Q$110,16,FALSE)),(182.5-F17)*IF(OR(A17=6,A17=7,A17=8,A17=9,A17=10,A17=101),((0.1*D17+2400)/1000)/182.5,(VLOOKUP(B17,'Daten Tierhaltung'!$B$7:$Q$110,16,FALSE)))))))</f>
        <v>0</v>
      </c>
      <c r="Z17" s="394">
        <f>IF(B17="leer",0,(IF(F17&gt;=182.5,0,IF(I17&gt;=182.5,(365-I17-F17)*IF(OR(A17=6,A17=7,A17=8,A17=9,A17=10,A17=101),((0.1*D17+2400)/1000)/(182.5*2),VLOOKUP(B17,'Daten Tierhaltung'!$B$7:$Q$110,16,FALSE)/2),(182.5-F17)*IF(OR(A17=6,A17=7,A17=8,A17=9,A17=10,A17=101),((0.1*D17+2400)/1000)/(182.5*2),(VLOOKUP(B17,'Daten Tierhaltung'!$B$7:$Z$110,16,FALSE)/2))))))</f>
        <v>0</v>
      </c>
      <c r="AA17" s="394">
        <f t="shared" si="1"/>
        <v>0</v>
      </c>
      <c r="AB17" s="394">
        <f>E17*J17*(F17/365*VLOOKUP(B17,'Daten Tierhaltung'!$B$7:$Z$110,22,FALSE)/100+(G17/365*VLOOKUP(B17,'Daten Tierhaltung'!$B$7:$Z$110,23,FALSE))/100)</f>
        <v>0</v>
      </c>
      <c r="AC17" s="394">
        <f>IF(C17="Abgabe an andere Betriebe",0,IF(C17="in eigene Biogasanlage",(E17*J17*((F17+G17)/365)-AB17)*0.1,IF(C17="auf selbst bewirtschaft. Flächen",(E17*J17*((F17+G17)/365)-AB17)*((F17/365*VLOOKUP(B17,'Daten Tierhaltung'!$B$7:$Z$110,24,FALSE)+(G17+I17)/365*VLOOKUP(B17,'Daten Tierhaltung'!$B$7:$Z$110,25,FALSE))/100),0)))</f>
        <v>0</v>
      </c>
      <c r="AD17" s="394">
        <f t="shared" si="2"/>
        <v>0</v>
      </c>
      <c r="AE17" s="20">
        <f t="shared" si="3"/>
        <v>0</v>
      </c>
      <c r="AF17" s="20">
        <f t="shared" si="4"/>
        <v>0</v>
      </c>
      <c r="AG17" s="20">
        <f t="shared" si="5"/>
        <v>0</v>
      </c>
    </row>
    <row r="18" spans="1:33" s="363" customFormat="1">
      <c r="A18" s="1056">
        <f>VLOOKUP(B18,'Daten Tierhaltung'!$B$7:$Z$108,2,FALSE)</f>
        <v>0</v>
      </c>
      <c r="B18" s="820" t="s">
        <v>163</v>
      </c>
      <c r="C18" s="820" t="s">
        <v>223</v>
      </c>
      <c r="D18" s="821">
        <v>0</v>
      </c>
      <c r="E18" s="821">
        <v>0</v>
      </c>
      <c r="F18" s="757">
        <f>IF(OR(A18=58,A18=59,A18=60,A18=61,A18=62,A18=63,A18=64,A18=65,A18=66,A18=67,A18=68,A18=69,A18=72,A18=73,A18=74,A18=75,A18=76,A18=77,A18=78,A18=79,A18=80,A18=81,A18=82,A18=83,A18=84,A18=85,A18=86,A18=87,A18=88,A18=89,A18=90,A18=91,A18=92,A18=93,A18=97,A18=98,A18=99,A18=100),0,IF(365-G18-I18&lt;0,0,365-G18-I18))</f>
        <v>365</v>
      </c>
      <c r="G18" s="821">
        <v>0</v>
      </c>
      <c r="H18" s="820" t="s">
        <v>107</v>
      </c>
      <c r="I18" s="821">
        <v>0</v>
      </c>
      <c r="J18" s="758">
        <f>IF(A18=6,IF(D18&lt;=8000,0.0075*D18+69,0.007*D18+73),IF(A18=7,IF(D18&lt;=8000,0.0075*D18+64,0.0085*D18+56),IF(A18=101,IF(D18&lt;=8000,0.0073*D18+51,0.0085*D18+32),IF(A18=8,IF(D18&lt;=8000,0.007*D18+61,0.009*D18+44.667),IF(A18=9,IF(D18&lt;=8000,0.0075*D18+47,0.009*D18+23),IF(A18=10,IF(D18&lt;=8000,0.0075*D18+45,0.0093*D18+27),IF(A18=11,IF(D18&lt;=7000,0.0075*D18+38.5,0.01*D18+21),IF(A18=51,0.0058*D18+7.0627,IF(A18=52,0.0055*D18+6.8356,IF(A18=53,0.0052*D18+6.0136,VLOOKUP(B18,'Daten Tierhaltung'!$B$7:$J$110,4,FALSE)))))))))))</f>
        <v>0</v>
      </c>
      <c r="K18" s="758">
        <f>IF(A18=6,IF(D18&lt;=8000,0.0035*D18+15,0.002*D18+27),IF(A18=7,IF(D18&lt;=8000,0.003*D18+19,0.0025*D18+23),IF(A18=101,IF(D18&lt;=8000,0.0015*D18+24,0.0015*D18+26),IF(A18=8,IF(D18&lt;=8000,0.0025*D18+22,0.0025*D18+22),IF(A18=9,IF(D18&lt;=8000,0.0015*D18+23,0.0015*D18+24),IF(A18=10,IF(D18&lt;=8000,0.001*D18+27,0.001*D18+31.5),IF(A18=11,IF(D18&lt;=7000,0.002*D18+2.2,0.001*D18+7.5),IF(A18=51,0.0009*D18+4.1288,IF(A18=52,0.0014*D18+3.0932,IF(A18=53,0.0006*D18+3.3542,VLOOKUP(B18,'Daten Tierhaltung'!$B$7:$J$110,5,FALSE)))))))))))</f>
        <v>0</v>
      </c>
      <c r="L18" s="758">
        <f>IF(A18=6,IF(D18&lt;=8000,0.004*D18+110,0.004*D18+110),IF(A18=7,IF(D18&lt;=8000,0.0025*D18+114,0.0045*D18+98),IF(A18=101,IF(D18&lt;=8000,0.0025*D18+98,0.0045*D18+96),IF(A18=8,IF(D18&lt;=8000,0.007*D18+67,0.004*D18+91),IF(A18=9,IF(D18&lt;=8000,0.006*D18+68,0.0045*D18+80),IF(A18=10,IF(D18&lt;=8000,0.006*D18+58,0.0045*D18+80),IF(A18=11,IF(D18&lt;=7000,0.006*D18+54,0.006*D18+54),IF(A18=51,0.0023*D18+3.9271,IF(A18=52,0.0028*D18+3.3915,IF(A18=53,0.0024*D18+3.522,VLOOKUP(B18,'Daten Tierhaltung'!$B$7:$J$110,6,FALSE)))))))))))</f>
        <v>0</v>
      </c>
      <c r="M18" s="758">
        <f t="shared" si="7"/>
        <v>0</v>
      </c>
      <c r="N18" s="758" t="str">
        <f>IF(C18="Abgabe an andere Betriebe",E18*J18*(($F18/365*VLOOKUP(B18,'Daten Tierhaltung'!$B$7:$S$110,17,FALSE))+(($G18/365*VLOOKUP(B18,'Daten Tierhaltung'!$B$7:$S$110,18,FALSE)))),"0")</f>
        <v>0</v>
      </c>
      <c r="O18" s="758">
        <f>IF(C18="auf selbst bewirtschaft. Flächen",E18*J18*(($F18/365*VLOOKUP(B18,'Daten Tierhaltung'!$B$7:$S$110,17,FALSE))+(($G18/365*VLOOKUP(B18,'Daten Tierhaltung'!$B$7:$S$110,18,FALSE)))),"0")</f>
        <v>0</v>
      </c>
      <c r="P18" s="753">
        <f>E18*I18/365*VLOOKUP(B18,'Daten Tierhaltung'!$B$7:$V$110,18,FALSE)*J18</f>
        <v>0</v>
      </c>
      <c r="Q18" s="753" t="str">
        <f>IF(C18="in eigene Biogasanlage",E18*J18*((0.95*F18/365*VLOOKUP(B18,'Daten Tierhaltung'!$B$7:$V$110,17,FALSE))+((0.95*G18/365*VLOOKUP(B18,'Daten Tierhaltung'!$B$7:$V$110,18,FALSE)))),"0")</f>
        <v>0</v>
      </c>
      <c r="R18" s="20">
        <f>E18*IF(A18=6,IF(D18&lt;=8000,0.0015*D18+99,0.001*D18+103),IF(A18=7,IF(D18&lt;=8000,0.0005*D18+95,0.001*D18+91),IF(A18=101,IF(D18&lt;=8000,0.005*D18+56,0.005*D18+56),IF(A18=8,IF(D18&lt;=8000,0.0035*D18+65,0.002*D18+77),IF(A18=9,IF(D18&lt;=8000,0.0035*D18+51,0.003*D18+59),IF(A18=10,IF(D18&lt;=8000,0.0035*D18+50.5,0.0035*D18+56),IF(A18=11,IF(D18&lt;=7000,0.0035*D18+50,0.0025*D18+57.5),VLOOKUP(B18,'Daten Tierhaltung'!$B$7:$J$110,7,FALSE))))))))</f>
        <v>0</v>
      </c>
      <c r="S18" s="20">
        <f>E18*IF(A18=6,IF(D18&lt;=8000,0.0005*D18+30,0.001*D18+26),IF(A18=7,IF(D18&lt;=8000,0.0005*D18+28,0.0005*D18+28),IF(A18=101,IF(D18&lt;=8000,0.0015*D18+18.5,0.0015*D18+19.5),IF(A18=8,IF(D18&lt;=8000,0.0015*D18+19,0.0008*D18+25),IF(A18=9,IF(D18&lt;=8000,0.0015*D18+17,0.0015*D18+17.5),IF(A18=10,IF(D18&lt;=8000,0.001*D18+18.3,0.001*D18+20.4),IF(A18=11,IF(D18&lt;=7000,0.0013*D18+15,0.0013*D18+15.75),VLOOKUP(B18,'Daten Tierhaltung'!$B$7:$J$110,8,FALSE))))))))</f>
        <v>0</v>
      </c>
      <c r="T18" s="20">
        <f>E18*IF(A18=6,IF(D18&lt;=8000,0.002*D18+115,0.0015*D18+119),IF(A18=7,IF(D18&lt;=8000,0.0005*D18+118,0.001*D18+114),IF(A18=101,IF(D18&lt;=8000,0.0005*D18+76,0.001*D18+80),IF(A18=8,IF(D18&lt;=8000,0.004*D18+75,0.003*D18+83),IF(A18=9,IF(D18&lt;=8000,0.004*D18+69,0.0028*D18+79),IF(A18=10,IF(D18&lt;=8000,0.004*D18+60,0.0028*D18+75),IF(A18=11,IF(D18&lt;=7000,0.0045*D18+55,0.0025*D18+69.5),VLOOKUP(B18,'Daten Tierhaltung'!$B$7:$J$110,9,FALSE))))))))</f>
        <v>0</v>
      </c>
      <c r="U18" s="20">
        <f>IF(B18="leer",0,IF(G18&gt;60.8333,(IF(OR(A18=6,A18=7,A18=8,A18=9, A18=10, A18=101),IF(D18&lt;8000,(0.15*D18+6300)/1000,(0.25*D18+5500)/1000),IF(A18=11,(0.25*D18+5650)/1000,VLOOKUP(B18,'Daten Tierhaltung'!$B$7:$Q$110,11,FALSE))))*1/3*Tierhaltung!E18,IF(OR(A18=6,A18=7,A18=8,A18=9, A18=10,A18=101),(0.15*D18+6300)/1000,IF(A18=11,(0.25*D18+5650)/1000,VLOOKUP(B18,'Daten Tierhaltung'!$B$7:$Z$110,11,FALSE)))*G18*E18/182.5))</f>
        <v>0</v>
      </c>
      <c r="V18" s="20">
        <f>IF(B18="leer",0,IF(F18&gt;182.5,IF(OR(A18=6,A18=7,A18=8,A18=9,A18=10,A18=101),(0.25*D18+8000)/1000,VLOOKUP(B18,'Daten Tierhaltung'!$B$7:$Q$81,13,FALSE))*E18,IF(OR(A18=6,A18=7,A18=8,A18=9,A18=10,A18=101),(0.25*D18+8000)/1000,VLOOKUP(B18,'Daten Tierhaltung'!$B$7:$Z$110,13,FALSE))*E18*F18/182.5))</f>
        <v>0</v>
      </c>
      <c r="W18" s="20">
        <f t="shared" si="0"/>
        <v>0</v>
      </c>
      <c r="X18" s="394">
        <f>SUM(V18:W18)</f>
        <v>0</v>
      </c>
      <c r="Y18" s="394">
        <f>IF(B18="leer",0,(IF(F18&gt;=182.5,0,IF(I18&gt;=182.5,(365-I18-F18)*IF(OR(A18=6,A18=7,A18=8,A18=9,A18=10,A18=101),((0.1*D18+2400)/1000)/182.5,VLOOKUP(B18,'Daten Tierhaltung'!$B$7:$Q$110,16,FALSE)),(182.5-F18)*IF(OR(A18=6,A18=7,A18=8,A18=9,A18=10,A18=101),((0.1*D18+2400)/1000)/182.5,(VLOOKUP(B18,'Daten Tierhaltung'!$B$7:$Q$110,16,FALSE)))))))</f>
        <v>0</v>
      </c>
      <c r="Z18" s="394">
        <f>IF(B18="leer",0,(IF(F18&gt;=182.5,0,IF(I18&gt;=182.5,(365-I18-F18)*IF(OR(A18=6,A18=7,A18=8,A18=9,A18=10,A18=101),((0.1*D18+2400)/1000)/(182.5*2),VLOOKUP(B18,'Daten Tierhaltung'!$B$7:$Q$110,16,FALSE)/2),(182.5-F18)*IF(OR(A18=6,A18=7,A18=8,A18=9,A18=10,A18=101),((0.1*D18+2400)/1000)/(182.5*2),(VLOOKUP(B18,'Daten Tierhaltung'!$B$7:$Z$110,16,FALSE)/2))))))</f>
        <v>0</v>
      </c>
      <c r="AA18" s="394">
        <f t="shared" si="1"/>
        <v>0</v>
      </c>
      <c r="AB18" s="394">
        <f>E18*J18*(F18/365*VLOOKUP(B18,'Daten Tierhaltung'!$B$7:$Z$110,22,FALSE)/100+(G18/365*VLOOKUP(B18,'Daten Tierhaltung'!$B$7:$Z$110,23,FALSE))/100)</f>
        <v>0</v>
      </c>
      <c r="AC18" s="394">
        <f>IF(C18="Abgabe an andere Betriebe",0,IF(C18="in eigene Biogasanlage",(E18*J18*((F18+G18)/365)-AB18)*0.1,IF(C18="auf selbst bewirtschaft. Flächen",(E18*J18*((F18+G18)/365)-AB18)*((F18/365*VLOOKUP(B18,'Daten Tierhaltung'!$B$7:$Z$110,24,FALSE)+(G18+I18)/365*VLOOKUP(B18,'Daten Tierhaltung'!$B$7:$Z$110,25,FALSE))/100),0)))</f>
        <v>0</v>
      </c>
      <c r="AD18" s="394">
        <f t="shared" si="2"/>
        <v>0</v>
      </c>
      <c r="AE18" s="20">
        <f t="shared" si="3"/>
        <v>0</v>
      </c>
      <c r="AF18" s="20">
        <f t="shared" si="4"/>
        <v>0</v>
      </c>
      <c r="AG18" s="20">
        <f t="shared" si="5"/>
        <v>0</v>
      </c>
    </row>
    <row r="19" spans="1:33" s="363" customFormat="1">
      <c r="A19" s="1056">
        <f>VLOOKUP(B19,'Daten Tierhaltung'!$B$7:$Z$108,2,FALSE)</f>
        <v>0</v>
      </c>
      <c r="B19" s="820" t="s">
        <v>163</v>
      </c>
      <c r="C19" s="820" t="s">
        <v>223</v>
      </c>
      <c r="D19" s="821">
        <v>0</v>
      </c>
      <c r="E19" s="821">
        <v>0</v>
      </c>
      <c r="F19" s="757">
        <f>IF(OR(A19=58,A19=59,A19=60,A19=61,A19=62,A19=63,A19=64,A19=65,A19=66,A19=67,A19=68,A19=69,A19=72,A19=73,A19=74,A19=75,A19=76,A19=77,A19=78,A19=79,A19=80,A19=81,A19=82,A19=83,A19=84,A19=85,A19=86,A19=87,A19=88,A19=89,A19=90,A19=91,A19=92,A19=93,A19=97,A19=98,A19=99,A19=100),0,IF(365-G19-I19&lt;0,0,365-G19-I19))</f>
        <v>365</v>
      </c>
      <c r="G19" s="821">
        <v>0</v>
      </c>
      <c r="H19" s="820" t="s">
        <v>107</v>
      </c>
      <c r="I19" s="821">
        <v>0</v>
      </c>
      <c r="J19" s="758">
        <f>IF(A19=6,IF(D19&lt;=8000,0.0075*D19+69,0.007*D19+73),IF(A19=7,IF(D19&lt;=8000,0.0075*D19+64,0.0085*D19+56),IF(A19=101,IF(D19&lt;=8000,0.0073*D19+51,0.0085*D19+32),IF(A19=8,IF(D19&lt;=8000,0.007*D19+61,0.009*D19+44.667),IF(A19=9,IF(D19&lt;=8000,0.0075*D19+47,0.009*D19+23),IF(A19=10,IF(D19&lt;=8000,0.0075*D19+45,0.0093*D19+27),IF(A19=11,IF(D19&lt;=7000,0.0075*D19+38.5,0.01*D19+21),IF(A19=51,0.0058*D19+7.0627,IF(A19=52,0.0055*D19+6.8356,IF(A19=53,0.0052*D19+6.0136,VLOOKUP(B19,'Daten Tierhaltung'!$B$7:$J$110,4,FALSE)))))))))))</f>
        <v>0</v>
      </c>
      <c r="K19" s="758">
        <f>IF(A19=6,IF(D19&lt;=8000,0.0035*D19+15,0.002*D19+27),IF(A19=7,IF(D19&lt;=8000,0.003*D19+19,0.0025*D19+23),IF(A19=101,IF(D19&lt;=8000,0.0015*D19+24,0.0015*D19+26),IF(A19=8,IF(D19&lt;=8000,0.0025*D19+22,0.0025*D19+22),IF(A19=9,IF(D19&lt;=8000,0.0015*D19+23,0.0015*D19+24),IF(A19=10,IF(D19&lt;=8000,0.001*D19+27,0.001*D19+31.5),IF(A19=11,IF(D19&lt;=7000,0.002*D19+2.2,0.001*D19+7.5),IF(A19=51,0.0009*D19+4.1288,IF(A19=52,0.0014*D19+3.0932,IF(A19=53,0.0006*D19+3.3542,VLOOKUP(B19,'Daten Tierhaltung'!$B$7:$J$110,5,FALSE)))))))))))</f>
        <v>0</v>
      </c>
      <c r="L19" s="758">
        <f>IF(A19=6,IF(D19&lt;=8000,0.004*D19+110,0.004*D19+110),IF(A19=7,IF(D19&lt;=8000,0.0025*D19+114,0.0045*D19+98),IF(A19=101,IF(D19&lt;=8000,0.0025*D19+98,0.0045*D19+96),IF(A19=8,IF(D19&lt;=8000,0.007*D19+67,0.004*D19+91),IF(A19=9,IF(D19&lt;=8000,0.006*D19+68,0.0045*D19+80),IF(A19=10,IF(D19&lt;=8000,0.006*D19+58,0.0045*D19+80),IF(A19=11,IF(D19&lt;=7000,0.006*D19+54,0.006*D19+54),IF(A19=51,0.0023*D19+3.9271,IF(A19=52,0.0028*D19+3.3915,IF(A19=53,0.0024*D19+3.522,VLOOKUP(B19,'Daten Tierhaltung'!$B$7:$J$110,6,FALSE)))))))))))</f>
        <v>0</v>
      </c>
      <c r="M19" s="758">
        <f t="shared" si="7"/>
        <v>0</v>
      </c>
      <c r="N19" s="758" t="str">
        <f>IF(C19="Abgabe an andere Betriebe",E19*J19*(($F19/365*VLOOKUP(B19,'Daten Tierhaltung'!$B$7:$S$110,17,FALSE))+(($G19/365*VLOOKUP(B19,'Daten Tierhaltung'!$B$7:$S$110,18,FALSE)))),"0")</f>
        <v>0</v>
      </c>
      <c r="O19" s="758">
        <f>IF(C19="auf selbst bewirtschaft. Flächen",E19*J19*(($F19/365*VLOOKUP(B19,'Daten Tierhaltung'!$B$7:$S$110,17,FALSE))+(($G19/365*VLOOKUP(B19,'Daten Tierhaltung'!$B$7:$S$110,18,FALSE)))),"0")</f>
        <v>0</v>
      </c>
      <c r="P19" s="753">
        <f>E19*I19/365*VLOOKUP(B19,'Daten Tierhaltung'!$B$7:$V$110,18,FALSE)*J19</f>
        <v>0</v>
      </c>
      <c r="Q19" s="753" t="str">
        <f>IF(C19="in eigene Biogasanlage",E19*J19*((0.95*F19/365*VLOOKUP(B19,'Daten Tierhaltung'!$B$7:$V$110,17,FALSE))+((0.95*G19/365*VLOOKUP(B19,'Daten Tierhaltung'!$B$7:$V$110,18,FALSE)))),"0")</f>
        <v>0</v>
      </c>
      <c r="R19" s="20">
        <f>E19*IF(A19=6,IF(D19&lt;=8000,0.0015*D19+99,0.001*D19+103),IF(A19=7,IF(D19&lt;=8000,0.0005*D19+95,0.001*D19+91),IF(A19=101,IF(D19&lt;=8000,0.005*D19+56,0.005*D19+56),IF(A19=8,IF(D19&lt;=8000,0.0035*D19+65,0.002*D19+77),IF(A19=9,IF(D19&lt;=8000,0.0035*D19+51,0.003*D19+59),IF(A19=10,IF(D19&lt;=8000,0.0035*D19+50.5,0.0035*D19+56),IF(A19=11,IF(D19&lt;=7000,0.0035*D19+50,0.0025*D19+57.5),VLOOKUP(B19,'Daten Tierhaltung'!$B$7:$J$110,7,FALSE))))))))</f>
        <v>0</v>
      </c>
      <c r="S19" s="20">
        <f>E19*IF(A19=6,IF(D19&lt;=8000,0.0005*D19+30,0.001*D19+26),IF(A19=7,IF(D19&lt;=8000,0.0005*D19+28,0.0005*D19+28),IF(A19=101,IF(D19&lt;=8000,0.0015*D19+18.5,0.0015*D19+19.5),IF(A19=8,IF(D19&lt;=8000,0.0015*D19+19,0.0008*D19+25),IF(A19=9,IF(D19&lt;=8000,0.0015*D19+17,0.0015*D19+17.5),IF(A19=10,IF(D19&lt;=8000,0.001*D19+18.3,0.001*D19+20.4),IF(A19=11,IF(D19&lt;=7000,0.0013*D19+15,0.0013*D19+15.75),VLOOKUP(B19,'Daten Tierhaltung'!$B$7:$J$110,8,FALSE))))))))</f>
        <v>0</v>
      </c>
      <c r="T19" s="20">
        <f>E19*IF(A19=6,IF(D19&lt;=8000,0.002*D19+115,0.0015*D19+119),IF(A19=7,IF(D19&lt;=8000,0.0005*D19+118,0.001*D19+114),IF(A19=101,IF(D19&lt;=8000,0.0005*D19+76,0.001*D19+80),IF(A19=8,IF(D19&lt;=8000,0.004*D19+75,0.003*D19+83),IF(A19=9,IF(D19&lt;=8000,0.004*D19+69,0.0028*D19+79),IF(A19=10,IF(D19&lt;=8000,0.004*D19+60,0.0028*D19+75),IF(A19=11,IF(D19&lt;=7000,0.0045*D19+55,0.0025*D19+69.5),VLOOKUP(B19,'Daten Tierhaltung'!$B$7:$J$110,9,FALSE))))))))</f>
        <v>0</v>
      </c>
      <c r="U19" s="20">
        <f>IF(B19="leer",0,IF(G19&gt;60.8333,(IF(OR(A19=6,A19=7,A19=8,A19=9, A19=10, A19=101),IF(D19&lt;8000,(0.15*D19+6300)/1000,(0.25*D19+5500)/1000),IF(A19=11,(0.25*D19+5650)/1000,VLOOKUP(B19,'Daten Tierhaltung'!$B$7:$Q$110,11,FALSE))))*1/3*Tierhaltung!E19,IF(OR(A19=6,A19=7,A19=8,A19=9, A19=10,A19=101),(0.15*D19+6300)/1000,IF(A19=11,(0.25*D19+5650)/1000,VLOOKUP(B19,'Daten Tierhaltung'!$B$7:$Z$110,11,FALSE)))*G19*E19/182.5))</f>
        <v>0</v>
      </c>
      <c r="V19" s="20">
        <f>IF(B19="leer",0,IF(F19&gt;182.5,IF(OR(A19=6,A19=7,A19=8,A19=9,A19=10,A19=101),(0.25*D19+8000)/1000,VLOOKUP(B19,'Daten Tierhaltung'!$B$7:$Q$81,13,FALSE))*E19,IF(OR(A19=6,A19=7,A19=8,A19=9,A19=10,A19=101),(0.25*D19+8000)/1000,VLOOKUP(B19,'Daten Tierhaltung'!$B$7:$Z$110,13,FALSE))*E19*F19/182.5))</f>
        <v>0</v>
      </c>
      <c r="W19" s="20">
        <f t="shared" si="0"/>
        <v>0</v>
      </c>
      <c r="X19" s="394">
        <f t="shared" si="8"/>
        <v>0</v>
      </c>
      <c r="Y19" s="394">
        <f>IF(B19="leer",0,(IF(F19&gt;=182.5,0,IF(I19&gt;=182.5,(365-I19-F19)*IF(OR(A19=6,A19=7,A19=8,A19=9,A19=10,A19=101),((0.1*D19+2400)/1000)/182.5,VLOOKUP(B19,'Daten Tierhaltung'!$B$7:$Q$110,16,FALSE)),(182.5-F19)*IF(OR(A19=6,A19=7,A19=8,A19=9,A19=10,A19=101),((0.1*D19+2400)/1000)/182.5,(VLOOKUP(B19,'Daten Tierhaltung'!$B$7:$Q$110,16,FALSE)))))))</f>
        <v>0</v>
      </c>
      <c r="Z19" s="394">
        <f>IF(B19="leer",0,(IF(F19&gt;=182.5,0,IF(I19&gt;=182.5,(365-I19-F19)*IF(OR(A19=6,A19=7,A19=8,A19=9,A19=10,A19=101),((0.1*D19+2400)/1000)/(182.5*2),VLOOKUP(B19,'Daten Tierhaltung'!$B$7:$Q$110,16,FALSE)/2),(182.5-F19)*IF(OR(A19=6,A19=7,A19=8,A19=9,A19=10,A19=101),((0.1*D19+2400)/1000)/(182.5*2),(VLOOKUP(B19,'Daten Tierhaltung'!$B$7:$Z$110,16,FALSE)/2))))))</f>
        <v>0</v>
      </c>
      <c r="AA19" s="394">
        <f t="shared" si="1"/>
        <v>0</v>
      </c>
      <c r="AB19" s="394">
        <f>E19*J19*(F19/365*VLOOKUP(B19,'Daten Tierhaltung'!$B$7:$Z$110,22,FALSE)/100+(G19/365*VLOOKUP(B19,'Daten Tierhaltung'!$B$7:$Z$110,23,FALSE))/100)</f>
        <v>0</v>
      </c>
      <c r="AC19" s="394">
        <f>IF(C19="Abgabe an andere Betriebe",0,IF(C19="in eigene Biogasanlage",(E19*J19*((F19+G19)/365)-AB19)*0.1,IF(C19="auf selbst bewirtschaft. Flächen",(E19*J19*((F19+G19)/365)-AB19)*((F19/365*VLOOKUP(B19,'Daten Tierhaltung'!$B$7:$Z$110,24,FALSE)+(G19+I19)/365*VLOOKUP(B19,'Daten Tierhaltung'!$B$7:$Z$110,25,FALSE))/100),0)))</f>
        <v>0</v>
      </c>
      <c r="AD19" s="394">
        <f t="shared" si="2"/>
        <v>0</v>
      </c>
      <c r="AE19" s="20">
        <f t="shared" si="3"/>
        <v>0</v>
      </c>
      <c r="AF19" s="20">
        <f t="shared" si="4"/>
        <v>0</v>
      </c>
      <c r="AG19" s="20">
        <f t="shared" si="5"/>
        <v>0</v>
      </c>
    </row>
    <row r="20" spans="1:33" s="363" customFormat="1">
      <c r="A20" s="1056">
        <f>VLOOKUP(B20,'Daten Tierhaltung'!$B$7:$Z$108,2,FALSE)</f>
        <v>0</v>
      </c>
      <c r="B20" s="820" t="s">
        <v>163</v>
      </c>
      <c r="C20" s="820" t="s">
        <v>223</v>
      </c>
      <c r="D20" s="821">
        <v>0</v>
      </c>
      <c r="E20" s="821">
        <v>0</v>
      </c>
      <c r="F20" s="757">
        <f t="shared" si="6"/>
        <v>365</v>
      </c>
      <c r="G20" s="821">
        <v>0</v>
      </c>
      <c r="H20" s="820" t="s">
        <v>106</v>
      </c>
      <c r="I20" s="821">
        <v>0</v>
      </c>
      <c r="J20" s="758">
        <f>IF(A20=6,IF(D20&lt;=8000,0.0075*D20+69,0.007*D20+73),IF(A20=7,IF(D20&lt;=8000,0.0075*D20+64,0.0085*D20+56),IF(A20=101,IF(D20&lt;=8000,0.0073*D20+51,0.0085*D20+32),IF(A20=8,IF(D20&lt;=8000,0.007*D20+61,0.009*D20+44.667),IF(A20=9,IF(D20&lt;=8000,0.0075*D20+47,0.009*D20+23),IF(A20=10,IF(D20&lt;=8000,0.0075*D20+45,0.0093*D20+27),IF(A20=11,IF(D20&lt;=7000,0.0075*D20+38.5,0.01*D20+21),IF(A20=51,0.0058*D20+7.0627,IF(A20=52,0.0055*D20+6.8356,IF(A20=53,0.0052*D20+6.0136,VLOOKUP(B20,'Daten Tierhaltung'!$B$7:$J$110,4,FALSE)))))))))))</f>
        <v>0</v>
      </c>
      <c r="K20" s="758">
        <f>IF(A20=6,IF(D20&lt;=8000,0.0035*D20+15,0.002*D20+27),IF(A20=7,IF(D20&lt;=8000,0.003*D20+19,0.0025*D20+23),IF(A20=101,IF(D20&lt;=8000,0.0015*D20+24,0.0015*D20+26),IF(A20=8,IF(D20&lt;=8000,0.0025*D20+22,0.0025*D20+22),IF(A20=9,IF(D20&lt;=8000,0.0015*D20+23,0.0015*D20+24),IF(A20=10,IF(D20&lt;=8000,0.001*D20+27,0.001*D20+31.5),IF(A20=11,IF(D20&lt;=7000,0.002*D20+2.2,0.001*D20+7.5),IF(A20=51,0.0009*D20+4.1288,IF(A20=52,0.0014*D20+3.0932,IF(A20=53,0.0006*D20+3.3542,VLOOKUP(B20,'Daten Tierhaltung'!$B$7:$J$110,5,FALSE)))))))))))</f>
        <v>0</v>
      </c>
      <c r="L20" s="758">
        <f>IF(A20=6,IF(D20&lt;=8000,0.004*D20+110,0.004*D20+110),IF(A20=7,IF(D20&lt;=8000,0.0025*D20+114,0.0045*D20+98),IF(A20=101,IF(D20&lt;=8000,0.0025*D20+98,0.0045*D20+96),IF(A20=8,IF(D20&lt;=8000,0.007*D20+67,0.004*D20+91),IF(A20=9,IF(D20&lt;=8000,0.006*D20+68,0.0045*D20+80),IF(A20=10,IF(D20&lt;=8000,0.006*D20+58,0.0045*D20+80),IF(A20=11,IF(D20&lt;=7000,0.006*D20+54,0.006*D20+54),IF(A20=51,0.0023*D20+3.9271,IF(A20=52,0.0028*D20+3.3915,IF(A20=53,0.0024*D20+3.522,VLOOKUP(B20,'Daten Tierhaltung'!$B$7:$J$110,6,FALSE)))))))))))</f>
        <v>0</v>
      </c>
      <c r="M20" s="758">
        <f t="shared" si="7"/>
        <v>0</v>
      </c>
      <c r="N20" s="758" t="str">
        <f>IF(C20="Abgabe an andere Betriebe",E20*J20*(($F20/365*VLOOKUP(B20,'Daten Tierhaltung'!$B$7:$S$110,17,FALSE))+(($G20/365*VLOOKUP(B20,'Daten Tierhaltung'!$B$7:$S$110,18,FALSE)))),"0")</f>
        <v>0</v>
      </c>
      <c r="O20" s="758">
        <f>IF(C20="auf selbst bewirtschaft. Flächen",E20*J20*(($F20/365*VLOOKUP(B20,'Daten Tierhaltung'!$B$7:$S$110,17,FALSE))+(($G20/365*VLOOKUP(B20,'Daten Tierhaltung'!$B$7:$S$110,18,FALSE)))),"0")</f>
        <v>0</v>
      </c>
      <c r="P20" s="753">
        <f>E20*I20/365*VLOOKUP(B20,'Daten Tierhaltung'!$B$7:$V$110,18,FALSE)*J20</f>
        <v>0</v>
      </c>
      <c r="Q20" s="753" t="str">
        <f>IF(C20="in eigene Biogasanlage",E20*J20*((0.95*F20/365*VLOOKUP(B20,'Daten Tierhaltung'!$B$7:$V$110,17,FALSE))+((0.95*G20/365*VLOOKUP(B20,'Daten Tierhaltung'!$B$7:$V$110,18,FALSE)))),"0")</f>
        <v>0</v>
      </c>
      <c r="R20" s="20">
        <f>E20*IF(A20=6,IF(D20&lt;=8000,0.0015*D20+99,0.001*D20+103),IF(A20=7,IF(D20&lt;=8000,0.0005*D20+95,0.001*D20+91),IF(A20=101,IF(D20&lt;=8000,0.005*D20+56,0.005*D20+56),IF(A20=8,IF(D20&lt;=8000,0.0035*D20+65,0.002*D20+77),IF(A20=9,IF(D20&lt;=8000,0.0035*D20+51,0.003*D20+59),IF(A20=10,IF(D20&lt;=8000,0.0035*D20+50.5,0.0035*D20+56),IF(A20=11,IF(D20&lt;=7000,0.0035*D20+50,0.0025*D20+57.5),VLOOKUP(B20,'Daten Tierhaltung'!$B$7:$J$110,7,FALSE))))))))</f>
        <v>0</v>
      </c>
      <c r="S20" s="20">
        <f>E20*IF(A20=6,IF(D20&lt;=8000,0.0005*D20+30,0.001*D20+26),IF(A20=7,IF(D20&lt;=8000,0.0005*D20+28,0.0005*D20+28),IF(A20=101,IF(D20&lt;=8000,0.0015*D20+18.5,0.0015*D20+19.5),IF(A20=8,IF(D20&lt;=8000,0.0015*D20+19,0.0008*D20+25),IF(A20=9,IF(D20&lt;=8000,0.0015*D20+17,0.0015*D20+17.5),IF(A20=10,IF(D20&lt;=8000,0.001*D20+18.3,0.001*D20+20.4),IF(A20=11,IF(D20&lt;=7000,0.0013*D20+15,0.0013*D20+15.75),VLOOKUP(B20,'Daten Tierhaltung'!$B$7:$J$110,8,FALSE))))))))</f>
        <v>0</v>
      </c>
      <c r="T20" s="20">
        <f>E20*IF(A20=6,IF(D20&lt;=8000,0.002*D20+115,0.0015*D20+119),IF(A20=7,IF(D20&lt;=8000,0.0005*D20+118,0.001*D20+114),IF(A20=101,IF(D20&lt;=8000,0.0005*D20+76,0.001*D20+80),IF(A20=8,IF(D20&lt;=8000,0.004*D20+75,0.003*D20+83),IF(A20=9,IF(D20&lt;=8000,0.004*D20+69,0.0028*D20+79),IF(A20=10,IF(D20&lt;=8000,0.004*D20+60,0.0028*D20+75),IF(A20=11,IF(D20&lt;=7000,0.0045*D20+55,0.0025*D20+69.5),VLOOKUP(B20,'Daten Tierhaltung'!$B$7:$J$110,9,FALSE))))))))</f>
        <v>0</v>
      </c>
      <c r="U20" s="20">
        <f>IF(B20="leer",0,IF(G20&gt;60.8333,(IF(OR(A20=6,A20=7,A20=8,A20=9, A20=10, A20=101),IF(D20&lt;8000,(0.15*D20+6300)/1000,(0.25*D20+5500)/1000),IF(A20=11,(0.25*D20+5650)/1000,VLOOKUP(B20,'Daten Tierhaltung'!$B$7:$Q$110,11,FALSE))))*1/3*Tierhaltung!E20,IF(OR(A20=6,A20=7,A20=8,A20=9, A20=10,A20=101),(0.15*D20+6300)/1000,IF(A20=11,(0.25*D20+5650)/1000,VLOOKUP(B20,'Daten Tierhaltung'!$B$7:$Z$110,11,FALSE)))*G20*E20/182.5))</f>
        <v>0</v>
      </c>
      <c r="V20" s="20">
        <f>IF(B20="leer",0,IF(F20&gt;182.5,IF(OR(A20=6,A20=7,A20=8,A20=9,A20=10,A20=101),(0.25*D20+8000)/1000,VLOOKUP(B20,'Daten Tierhaltung'!$B$7:$Q$81,13,FALSE))*E20,IF(OR(A20=6,A20=7,A20=8,A20=9,A20=10,A20=101),(0.25*D20+8000)/1000,VLOOKUP(B20,'Daten Tierhaltung'!$B$7:$Z$110,13,FALSE))*E20*F20/182.5))</f>
        <v>0</v>
      </c>
      <c r="W20" s="20">
        <f t="shared" si="0"/>
        <v>0</v>
      </c>
      <c r="X20" s="394">
        <f t="shared" si="8"/>
        <v>0</v>
      </c>
      <c r="Y20" s="394">
        <f>IF(B20="leer",0,(IF(F20&gt;=182.5,0,IF(I20&gt;=182.5,(365-I20-F20)*IF(OR(A20=6,A20=7,A20=8,A20=9,A20=10,A20=101),((0.1*D20+2400)/1000)/182.5,VLOOKUP(B20,'Daten Tierhaltung'!$B$7:$Q$110,16,FALSE)),(182.5-F20)*IF(OR(A20=6,A20=7,A20=8,A20=9,A20=10,A20=101),((0.1*D20+2400)/1000)/182.5,(VLOOKUP(B20,'Daten Tierhaltung'!$B$7:$Q$110,16,FALSE)))))))</f>
        <v>0</v>
      </c>
      <c r="Z20" s="394">
        <f>IF(B20="leer",0,(IF(F20&gt;=182.5,0,IF(I20&gt;=182.5,(365-I20-F20)*IF(OR(A20=6,A20=7,A20=8,A20=9,A20=10,A20=101),((0.1*D20+2400)/1000)/(182.5*2),VLOOKUP(B20,'Daten Tierhaltung'!$B$7:$Q$110,16,FALSE)/2),(182.5-F20)*IF(OR(A20=6,A20=7,A20=8,A20=9,A20=10,A20=101),((0.1*D20+2400)/1000)/(182.5*2),(VLOOKUP(B20,'Daten Tierhaltung'!$B$7:$Z$110,16,FALSE)/2))))))</f>
        <v>0</v>
      </c>
      <c r="AA20" s="394">
        <f t="shared" si="1"/>
        <v>0</v>
      </c>
      <c r="AB20" s="394">
        <f>E20*J20*(F20/365*VLOOKUP(B20,'Daten Tierhaltung'!$B$7:$Z$110,22,FALSE)/100+(G20/365*VLOOKUP(B20,'Daten Tierhaltung'!$B$7:$Z$110,23,FALSE))/100)</f>
        <v>0</v>
      </c>
      <c r="AC20" s="394">
        <f>IF(C20="Abgabe an andere Betriebe",0,IF(C20="in eigene Biogasanlage",(E20*J20*((F20+G20)/365)-AB20)*0.1,IF(C20="auf selbst bewirtschaft. Flächen",(E20*J20*((F20+G20)/365)-AB20)*((F20/365*VLOOKUP(B20,'Daten Tierhaltung'!$B$7:$Z$110,24,FALSE)+(G20+I20)/365*VLOOKUP(B20,'Daten Tierhaltung'!$B$7:$Z$110,25,FALSE))/100),0)))</f>
        <v>0</v>
      </c>
      <c r="AD20" s="394">
        <f t="shared" si="2"/>
        <v>0</v>
      </c>
      <c r="AE20" s="20">
        <f t="shared" si="3"/>
        <v>0</v>
      </c>
      <c r="AF20" s="20">
        <f t="shared" si="4"/>
        <v>0</v>
      </c>
      <c r="AG20" s="20">
        <f t="shared" si="5"/>
        <v>0</v>
      </c>
    </row>
    <row r="21" spans="1:33" s="363" customFormat="1">
      <c r="A21" s="1056">
        <f>VLOOKUP(B21,'Daten Tierhaltung'!$B$7:$Z$108,2,FALSE)</f>
        <v>0</v>
      </c>
      <c r="B21" s="820" t="s">
        <v>163</v>
      </c>
      <c r="C21" s="820" t="s">
        <v>223</v>
      </c>
      <c r="D21" s="821">
        <v>0</v>
      </c>
      <c r="E21" s="821">
        <v>0</v>
      </c>
      <c r="F21" s="757">
        <f t="shared" si="6"/>
        <v>365</v>
      </c>
      <c r="G21" s="821">
        <v>0</v>
      </c>
      <c r="H21" s="820" t="s">
        <v>106</v>
      </c>
      <c r="I21" s="821">
        <v>0</v>
      </c>
      <c r="J21" s="758">
        <f>IF(A21=6,IF(D21&lt;=8000,0.0075*D21+69,0.007*D21+73),IF(A21=7,IF(D21&lt;=8000,0.0075*D21+64,0.0085*D21+56),IF(A21=101,IF(D21&lt;=8000,0.0073*D21+51,0.0085*D21+32),IF(A21=8,IF(D21&lt;=8000,0.007*D21+61,0.009*D21+44.667),IF(A21=9,IF(D21&lt;=8000,0.0075*D21+47,0.009*D21+23),IF(A21=10,IF(D21&lt;=8000,0.0075*D21+45,0.0093*D21+27),IF(A21=11,IF(D21&lt;=7000,0.0075*D21+38.5,0.01*D21+21),IF(A21=51,0.0058*D21+7.0627,IF(A21=52,0.0055*D21+6.8356,IF(A21=53,0.0052*D21+6.0136,VLOOKUP(B21,'Daten Tierhaltung'!$B$7:$J$110,4,FALSE)))))))))))</f>
        <v>0</v>
      </c>
      <c r="K21" s="758">
        <f>IF(A21=6,IF(D21&lt;=8000,0.0035*D21+15,0.002*D21+27),IF(A21=7,IF(D21&lt;=8000,0.003*D21+19,0.0025*D21+23),IF(A21=101,IF(D21&lt;=8000,0.0015*D21+24,0.0015*D21+26),IF(A21=8,IF(D21&lt;=8000,0.0025*D21+22,0.0025*D21+22),IF(A21=9,IF(D21&lt;=8000,0.0015*D21+23,0.0015*D21+24),IF(A21=10,IF(D21&lt;=8000,0.001*D21+27,0.001*D21+31.5),IF(A21=11,IF(D21&lt;=7000,0.002*D21+2.2,0.001*D21+7.5),IF(A21=51,0.0009*D21+4.1288,IF(A21=52,0.0014*D21+3.0932,IF(A21=53,0.0006*D21+3.3542,VLOOKUP(B21,'Daten Tierhaltung'!$B$7:$J$110,5,FALSE)))))))))))</f>
        <v>0</v>
      </c>
      <c r="L21" s="758">
        <f>IF(A21=6,IF(D21&lt;=8000,0.004*D21+110,0.004*D21+110),IF(A21=7,IF(D21&lt;=8000,0.0025*D21+114,0.0045*D21+98),IF(A21=101,IF(D21&lt;=8000,0.0025*D21+98,0.0045*D21+96),IF(A21=8,IF(D21&lt;=8000,0.007*D21+67,0.004*D21+91),IF(A21=9,IF(D21&lt;=8000,0.006*D21+68,0.0045*D21+80),IF(A21=10,IF(D21&lt;=8000,0.006*D21+58,0.0045*D21+80),IF(A21=11,IF(D21&lt;=7000,0.006*D21+54,0.006*D21+54),IF(A21=51,0.0023*D21+3.9271,IF(A21=52,0.0028*D21+3.3915,IF(A21=53,0.0024*D21+3.522,VLOOKUP(B21,'Daten Tierhaltung'!$B$7:$J$110,6,FALSE)))))))))))</f>
        <v>0</v>
      </c>
      <c r="M21" s="758">
        <f t="shared" si="7"/>
        <v>0</v>
      </c>
      <c r="N21" s="758" t="str">
        <f>IF(C21="Abgabe an andere Betriebe",E21*J21*(($F21/365*VLOOKUP(B21,'Daten Tierhaltung'!$B$7:$S$110,17,FALSE))+(($G21/365*VLOOKUP(B21,'Daten Tierhaltung'!$B$7:$S$110,18,FALSE)))),"0")</f>
        <v>0</v>
      </c>
      <c r="O21" s="758">
        <f>IF(C21="auf selbst bewirtschaft. Flächen",E21*J21*(($F21/365*VLOOKUP(B21,'Daten Tierhaltung'!$B$7:$S$110,17,FALSE))+(($G21/365*VLOOKUP(B21,'Daten Tierhaltung'!$B$7:$S$110,18,FALSE)))),"0")</f>
        <v>0</v>
      </c>
      <c r="P21" s="753">
        <f>E21*I21/365*VLOOKUP(B21,'Daten Tierhaltung'!$B$7:$V$110,18,FALSE)*J21</f>
        <v>0</v>
      </c>
      <c r="Q21" s="753" t="str">
        <f>IF(C21="in eigene Biogasanlage",E21*J21*((0.95*F21/365*VLOOKUP(B21,'Daten Tierhaltung'!$B$7:$V$110,17,FALSE))+((0.95*G21/365*VLOOKUP(B21,'Daten Tierhaltung'!$B$7:$V$110,18,FALSE)))),"0")</f>
        <v>0</v>
      </c>
      <c r="R21" s="20">
        <f>E21*IF(A21=6,IF(D21&lt;=8000,0.0015*D21+99,0.001*D21+103),IF(A21=7,IF(D21&lt;=8000,0.0005*D21+95,0.001*D21+91),IF(A21=101,IF(D21&lt;=8000,0.005*D21+56,0.005*D21+56),IF(A21=8,IF(D21&lt;=8000,0.0035*D21+65,0.002*D21+77),IF(A21=9,IF(D21&lt;=8000,0.0035*D21+51,0.003*D21+59),IF(A21=10,IF(D21&lt;=8000,0.0035*D21+50.5,0.0035*D21+56),IF(A21=11,IF(D21&lt;=7000,0.0035*D21+50,0.0025*D21+57.5),VLOOKUP(B21,'Daten Tierhaltung'!$B$7:$J$110,7,FALSE))))))))</f>
        <v>0</v>
      </c>
      <c r="S21" s="20">
        <f>E21*IF(A21=6,IF(D21&lt;=8000,0.0005*D21+30,0.001*D21+26),IF(A21=7,IF(D21&lt;=8000,0.0005*D21+28,0.0005*D21+28),IF(A21=101,IF(D21&lt;=8000,0.0015*D21+18.5,0.0015*D21+19.5),IF(A21=8,IF(D21&lt;=8000,0.0015*D21+19,0.0008*D21+25),IF(A21=9,IF(D21&lt;=8000,0.0015*D21+17,0.0015*D21+17.5),IF(A21=10,IF(D21&lt;=8000,0.001*D21+18.3,0.001*D21+20.4),IF(A21=11,IF(D21&lt;=7000,0.0013*D21+15,0.0013*D21+15.75),VLOOKUP(B21,'Daten Tierhaltung'!$B$7:$J$110,8,FALSE))))))))</f>
        <v>0</v>
      </c>
      <c r="T21" s="20">
        <f>E21*IF(A21=6,IF(D21&lt;=8000,0.002*D21+115,0.0015*D21+119),IF(A21=7,IF(D21&lt;=8000,0.0005*D21+118,0.001*D21+114),IF(A21=101,IF(D21&lt;=8000,0.0005*D21+76,0.001*D21+80),IF(A21=8,IF(D21&lt;=8000,0.004*D21+75,0.003*D21+83),IF(A21=9,IF(D21&lt;=8000,0.004*D21+69,0.0028*D21+79),IF(A21=10,IF(D21&lt;=8000,0.004*D21+60,0.0028*D21+75),IF(A21=11,IF(D21&lt;=7000,0.0045*D21+55,0.0025*D21+69.5),VLOOKUP(B21,'Daten Tierhaltung'!$B$7:$J$110,9,FALSE))))))))</f>
        <v>0</v>
      </c>
      <c r="U21" s="20">
        <f>IF(B21="leer",0,IF(G21&gt;60.8333,(IF(OR(A21=6,A21=7,A21=8,A21=9, A21=10, A21=101),IF(D21&lt;8000,(0.15*D21+6300)/1000,(0.25*D21+5500)/1000),IF(A21=11,(0.25*D21+5650)/1000,VLOOKUP(B21,'Daten Tierhaltung'!$B$7:$Q$110,11,FALSE))))*1/3*Tierhaltung!E21,IF(OR(A21=6,A21=7,A21=8,A21=9, A21=10,A21=101),(0.15*D21+6300)/1000,IF(A21=11,(0.25*D21+5650)/1000,VLOOKUP(B21,'Daten Tierhaltung'!$B$7:$Z$110,11,FALSE)))*G21*E21/182.5))</f>
        <v>0</v>
      </c>
      <c r="V21" s="20">
        <f>IF(B21="leer",0,IF(F21&gt;182.5,IF(OR(A21=6,A21=7,A21=8,A21=9,A21=10,A21=101),(0.25*D21+8000)/1000,VLOOKUP(B21,'Daten Tierhaltung'!$B$7:$Q$81,13,FALSE))*E21,IF(OR(A21=6,A21=7,A21=8,A21=9,A21=10,A21=101),(0.25*D21+8000)/1000,VLOOKUP(B21,'Daten Tierhaltung'!$B$7:$Z$110,13,FALSE))*E21*F21/182.5))</f>
        <v>0</v>
      </c>
      <c r="W21" s="20">
        <f t="shared" si="0"/>
        <v>0</v>
      </c>
      <c r="X21" s="394">
        <f t="shared" si="8"/>
        <v>0</v>
      </c>
      <c r="Y21" s="394">
        <f>IF(B21="leer",0,(IF(F21&gt;=182.5,0,IF(I21&gt;=182.5,(365-I21-F21)*IF(OR(A21=6,A21=7,A21=8,A21=9,A21=10,A21=101),((0.1*D21+2400)/1000)/182.5,VLOOKUP(B21,'Daten Tierhaltung'!$B$7:$Q$110,16,FALSE)),(182.5-F21)*IF(OR(A21=6,A21=7,A21=8,A21=9,A21=10,A21=101),((0.1*D21+2400)/1000)/182.5,(VLOOKUP(B21,'Daten Tierhaltung'!$B$7:$Q$110,16,FALSE)))))))</f>
        <v>0</v>
      </c>
      <c r="Z21" s="394">
        <f>IF(B21="leer",0,(IF(F21&gt;=182.5,0,IF(I21&gt;=182.5,(365-I21-F21)*IF(OR(A21=6,A21=7,A21=8,A21=9,A21=10,A21=101),((0.1*D21+2400)/1000)/(182.5*2),VLOOKUP(B21,'Daten Tierhaltung'!$B$7:$Q$110,16,FALSE)/2),(182.5-F21)*IF(OR(A21=6,A21=7,A21=8,A21=9,A21=10,A21=101),((0.1*D21+2400)/1000)/(182.5*2),(VLOOKUP(B21,'Daten Tierhaltung'!$B$7:$Z$110,16,FALSE)/2))))))</f>
        <v>0</v>
      </c>
      <c r="AA21" s="394">
        <f t="shared" si="1"/>
        <v>0</v>
      </c>
      <c r="AB21" s="394">
        <f>E21*J21*(F21/365*VLOOKUP(B21,'Daten Tierhaltung'!$B$7:$Z$110,22,FALSE)/100+(G21/365*VLOOKUP(B21,'Daten Tierhaltung'!$B$7:$Z$110,23,FALSE))/100)</f>
        <v>0</v>
      </c>
      <c r="AC21" s="394">
        <f>IF(C21="Abgabe an andere Betriebe",0,IF(C21="in eigene Biogasanlage",(E21*J21*((F21+G21)/365)-AB21)*0.1,IF(C21="auf selbst bewirtschaft. Flächen",(E21*J21*((F21+G21)/365)-AB21)*((F21/365*VLOOKUP(B21,'Daten Tierhaltung'!$B$7:$Z$110,24,FALSE)+(G21+I21)/365*VLOOKUP(B21,'Daten Tierhaltung'!$B$7:$Z$110,25,FALSE))/100),0)))</f>
        <v>0</v>
      </c>
      <c r="AD21" s="394">
        <f t="shared" si="2"/>
        <v>0</v>
      </c>
      <c r="AE21" s="20">
        <f t="shared" si="3"/>
        <v>0</v>
      </c>
      <c r="AF21" s="20">
        <f t="shared" si="4"/>
        <v>0</v>
      </c>
      <c r="AG21" s="20">
        <f t="shared" si="5"/>
        <v>0</v>
      </c>
    </row>
    <row r="22" spans="1:33" s="363" customFormat="1">
      <c r="A22" s="1056">
        <f>VLOOKUP(B22,'Daten Tierhaltung'!$B$7:$Z$108,2,FALSE)</f>
        <v>0</v>
      </c>
      <c r="B22" s="820" t="s">
        <v>163</v>
      </c>
      <c r="C22" s="820" t="s">
        <v>223</v>
      </c>
      <c r="D22" s="821">
        <v>0</v>
      </c>
      <c r="E22" s="821">
        <v>0</v>
      </c>
      <c r="F22" s="757">
        <f t="shared" si="6"/>
        <v>365</v>
      </c>
      <c r="G22" s="821">
        <v>0</v>
      </c>
      <c r="H22" s="820" t="s">
        <v>106</v>
      </c>
      <c r="I22" s="821">
        <v>0</v>
      </c>
      <c r="J22" s="758">
        <f>IF(A22=6,IF(D22&lt;=8000,0.0075*D22+69,0.007*D22+73),IF(A22=7,IF(D22&lt;=8000,0.0075*D22+64,0.0085*D22+56),IF(A22=101,IF(D22&lt;=8000,0.0073*D22+51,0.0085*D22+32),IF(A22=8,IF(D22&lt;=8000,0.007*D22+61,0.009*D22+44.667),IF(A22=9,IF(D22&lt;=8000,0.0075*D22+47,0.009*D22+23),IF(A22=10,IF(D22&lt;=8000,0.0075*D22+45,0.0093*D22+27),IF(A22=11,IF(D22&lt;=7000,0.0075*D22+38.5,0.01*D22+21),IF(A22=51,0.0058*D22+7.0627,IF(A22=52,0.0055*D22+6.8356,IF(A22=53,0.0052*D22+6.0136,VLOOKUP(B22,'Daten Tierhaltung'!$B$7:$J$110,4,FALSE)))))))))))</f>
        <v>0</v>
      </c>
      <c r="K22" s="758">
        <f>IF(A22=6,IF(D22&lt;=8000,0.0035*D22+15,0.002*D22+27),IF(A22=7,IF(D22&lt;=8000,0.003*D22+19,0.0025*D22+23),IF(A22=101,IF(D22&lt;=8000,0.0015*D22+24,0.0015*D22+26),IF(A22=8,IF(D22&lt;=8000,0.0025*D22+22,0.0025*D22+22),IF(A22=9,IF(D22&lt;=8000,0.0015*D22+23,0.0015*D22+24),IF(A22=10,IF(D22&lt;=8000,0.001*D22+27,0.001*D22+31.5),IF(A22=11,IF(D22&lt;=7000,0.002*D22+2.2,0.001*D22+7.5),IF(A22=51,0.0009*D22+4.1288,IF(A22=52,0.0014*D22+3.0932,IF(A22=53,0.0006*D22+3.3542,VLOOKUP(B22,'Daten Tierhaltung'!$B$7:$J$110,5,FALSE)))))))))))</f>
        <v>0</v>
      </c>
      <c r="L22" s="758">
        <f>IF(A22=6,IF(D22&lt;=8000,0.004*D22+110,0.004*D22+110),IF(A22=7,IF(D22&lt;=8000,0.0025*D22+114,0.0045*D22+98),IF(A22=101,IF(D22&lt;=8000,0.0025*D22+98,0.0045*D22+96),IF(A22=8,IF(D22&lt;=8000,0.007*D22+67,0.004*D22+91),IF(A22=9,IF(D22&lt;=8000,0.006*D22+68,0.0045*D22+80),IF(A22=10,IF(D22&lt;=8000,0.006*D22+58,0.0045*D22+80),IF(A22=11,IF(D22&lt;=7000,0.006*D22+54,0.006*D22+54),IF(A22=51,0.0023*D22+3.9271,IF(A22=52,0.0028*D22+3.3915,IF(A22=53,0.0024*D22+3.522,VLOOKUP(B22,'Daten Tierhaltung'!$B$7:$J$110,6,FALSE)))))))))))</f>
        <v>0</v>
      </c>
      <c r="M22" s="758">
        <f t="shared" si="7"/>
        <v>0</v>
      </c>
      <c r="N22" s="758" t="str">
        <f>IF(C22="Abgabe an andere Betriebe",E22*J22*(($F22/365*VLOOKUP(B22,'Daten Tierhaltung'!$B$7:$S$110,17,FALSE))+(($G22/365*VLOOKUP(B22,'Daten Tierhaltung'!$B$7:$S$110,18,FALSE)))),"0")</f>
        <v>0</v>
      </c>
      <c r="O22" s="758">
        <f>IF(C22="auf selbst bewirtschaft. Flächen",E22*J22*(($F22/365*VLOOKUP(B22,'Daten Tierhaltung'!$B$7:$S$110,17,FALSE))+(($G22/365*VLOOKUP(B22,'Daten Tierhaltung'!$B$7:$S$110,18,FALSE)))),"0")</f>
        <v>0</v>
      </c>
      <c r="P22" s="753">
        <f>E22*I22/365*VLOOKUP(B22,'Daten Tierhaltung'!$B$7:$V$110,18,FALSE)*J22</f>
        <v>0</v>
      </c>
      <c r="Q22" s="753" t="str">
        <f>IF(C22="in eigene Biogasanlage",E22*J22*((0.95*F22/365*VLOOKUP(B22,'Daten Tierhaltung'!$B$7:$V$110,17,FALSE))+((0.95*G22/365*VLOOKUP(B22,'Daten Tierhaltung'!$B$7:$V$110,18,FALSE)))),"0")</f>
        <v>0</v>
      </c>
      <c r="R22" s="20">
        <f>E22*IF(A22=6,IF(D22&lt;=8000,0.0015*D22+99,0.001*D22+103),IF(A22=7,IF(D22&lt;=8000,0.0005*D22+95,0.001*D22+91),IF(A22=101,IF(D22&lt;=8000,0.005*D22+56,0.005*D22+56),IF(A22=8,IF(D22&lt;=8000,0.0035*D22+65,0.002*D22+77),IF(A22=9,IF(D22&lt;=8000,0.0035*D22+51,0.003*D22+59),IF(A22=10,IF(D22&lt;=8000,0.0035*D22+50.5,0.0035*D22+56),IF(A22=11,IF(D22&lt;=7000,0.0035*D22+50,0.0025*D22+57.5),VLOOKUP(B22,'Daten Tierhaltung'!$B$7:$J$110,7,FALSE))))))))</f>
        <v>0</v>
      </c>
      <c r="S22" s="20">
        <f>E22*IF(A22=6,IF(D22&lt;=8000,0.0005*D22+30,0.001*D22+26),IF(A22=7,IF(D22&lt;=8000,0.0005*D22+28,0.0005*D22+28),IF(A22=101,IF(D22&lt;=8000,0.0015*D22+18.5,0.0015*D22+19.5),IF(A22=8,IF(D22&lt;=8000,0.0015*D22+19,0.0008*D22+25),IF(A22=9,IF(D22&lt;=8000,0.0015*D22+17,0.0015*D22+17.5),IF(A22=10,IF(D22&lt;=8000,0.001*D22+18.3,0.001*D22+20.4),IF(A22=11,IF(D22&lt;=7000,0.0013*D22+15,0.0013*D22+15.75),VLOOKUP(B22,'Daten Tierhaltung'!$B$7:$J$110,8,FALSE))))))))</f>
        <v>0</v>
      </c>
      <c r="T22" s="20">
        <f>E22*IF(A22=6,IF(D22&lt;=8000,0.002*D22+115,0.0015*D22+119),IF(A22=7,IF(D22&lt;=8000,0.0005*D22+118,0.001*D22+114),IF(A22=101,IF(D22&lt;=8000,0.0005*D22+76,0.001*D22+80),IF(A22=8,IF(D22&lt;=8000,0.004*D22+75,0.003*D22+83),IF(A22=9,IF(D22&lt;=8000,0.004*D22+69,0.0028*D22+79),IF(A22=10,IF(D22&lt;=8000,0.004*D22+60,0.0028*D22+75),IF(A22=11,IF(D22&lt;=7000,0.0045*D22+55,0.0025*D22+69.5),VLOOKUP(B22,'Daten Tierhaltung'!$B$7:$J$110,9,FALSE))))))))</f>
        <v>0</v>
      </c>
      <c r="U22" s="20">
        <f>IF(B22="leer",0,IF(G22&gt;60.8333,(IF(OR(A22=6,A22=7,A22=8,A22=9, A22=10, A22=101),IF(D22&lt;8000,(0.15*D22+6300)/1000,(0.25*D22+5500)/1000),IF(A22=11,(0.25*D22+5650)/1000,VLOOKUP(B22,'Daten Tierhaltung'!$B$7:$Q$110,11,FALSE))))*1/3*Tierhaltung!E22,IF(OR(A22=6,A22=7,A22=8,A22=9, A22=10,A22=101),(0.15*D22+6300)/1000,IF(A22=11,(0.25*D22+5650)/1000,VLOOKUP(B22,'Daten Tierhaltung'!$B$7:$Z$110,11,FALSE)))*G22*E22/182.5))</f>
        <v>0</v>
      </c>
      <c r="V22" s="20">
        <f>IF(B22="leer",0,IF(F22&gt;182.5,IF(OR(A22=6,A22=7,A22=8,A22=9,A22=10,A22=101),(0.25*D22+8000)/1000,VLOOKUP(B22,'Daten Tierhaltung'!$B$7:$Q$81,13,FALSE))*E22,IF(OR(A22=6,A22=7,A22=8,A22=9,A22=10,A22=101),(0.25*D22+8000)/1000,VLOOKUP(B22,'Daten Tierhaltung'!$B$7:$Z$110,13,FALSE))*E22*F22/182.5))</f>
        <v>0</v>
      </c>
      <c r="W22" s="20">
        <f t="shared" si="0"/>
        <v>0</v>
      </c>
      <c r="X22" s="394">
        <f t="shared" si="8"/>
        <v>0</v>
      </c>
      <c r="Y22" s="394">
        <f>IF(B22="leer",0,(IF(F22&gt;=182.5,0,IF(I22&gt;=182.5,(365-I22-F22)*IF(OR(A22=6,A22=7,A22=8,A22=9,A22=10,A22=101),((0.1*D22+2400)/1000)/182.5,VLOOKUP(B22,'Daten Tierhaltung'!$B$7:$Q$110,16,FALSE)),(182.5-F22)*IF(OR(A22=6,A22=7,A22=8,A22=9,A22=10,A22=101),((0.1*D22+2400)/1000)/182.5,(VLOOKUP(B22,'Daten Tierhaltung'!$B$7:$Q$110,16,FALSE)))))))</f>
        <v>0</v>
      </c>
      <c r="Z22" s="394">
        <f>IF(B22="leer",0,(IF(F22&gt;=182.5,0,IF(I22&gt;=182.5,(365-I22-F22)*IF(OR(A22=6,A22=7,A22=8,A22=9,A22=10,A22=101),((0.1*D22+2400)/1000)/(182.5*2),VLOOKUP(B22,'Daten Tierhaltung'!$B$7:$Q$110,16,FALSE)/2),(182.5-F22)*IF(OR(A22=6,A22=7,A22=8,A22=9,A22=10,A22=101),((0.1*D22+2400)/1000)/(182.5*2),(VLOOKUP(B22,'Daten Tierhaltung'!$B$7:$Z$110,16,FALSE)/2))))))</f>
        <v>0</v>
      </c>
      <c r="AA22" s="394">
        <f t="shared" si="1"/>
        <v>0</v>
      </c>
      <c r="AB22" s="394">
        <f>E22*J22*(F22/365*VLOOKUP(B22,'Daten Tierhaltung'!$B$7:$Z$110,22,FALSE)/100+(G22/365*VLOOKUP(B22,'Daten Tierhaltung'!$B$7:$Z$110,23,FALSE))/100)</f>
        <v>0</v>
      </c>
      <c r="AC22" s="394">
        <f>IF(C22="Abgabe an andere Betriebe",0,IF(C22="in eigene Biogasanlage",(E22*J22*((F22+G22)/365)-AB22)*0.1,IF(C22="auf selbst bewirtschaft. Flächen",(E22*J22*((F22+G22)/365)-AB22)*((F22/365*VLOOKUP(B22,'Daten Tierhaltung'!$B$7:$Z$110,24,FALSE)+(G22+I22)/365*VLOOKUP(B22,'Daten Tierhaltung'!$B$7:$Z$110,25,FALSE))/100),0)))</f>
        <v>0</v>
      </c>
      <c r="AD22" s="394">
        <f t="shared" si="2"/>
        <v>0</v>
      </c>
      <c r="AE22" s="20">
        <f t="shared" si="3"/>
        <v>0</v>
      </c>
      <c r="AF22" s="20">
        <f t="shared" si="4"/>
        <v>0</v>
      </c>
      <c r="AG22" s="20">
        <f t="shared" si="5"/>
        <v>0</v>
      </c>
    </row>
    <row r="23" spans="1:33" s="363" customFormat="1">
      <c r="A23" s="1056">
        <f>VLOOKUP(B23,'Daten Tierhaltung'!$B$7:$Z$108,2,FALSE)</f>
        <v>0</v>
      </c>
      <c r="B23" s="820" t="s">
        <v>163</v>
      </c>
      <c r="C23" s="820" t="s">
        <v>223</v>
      </c>
      <c r="D23" s="821">
        <v>0</v>
      </c>
      <c r="E23" s="821">
        <v>0</v>
      </c>
      <c r="F23" s="757">
        <f t="shared" si="6"/>
        <v>365</v>
      </c>
      <c r="G23" s="821">
        <v>0</v>
      </c>
      <c r="H23" s="820" t="s">
        <v>106</v>
      </c>
      <c r="I23" s="821">
        <v>0</v>
      </c>
      <c r="J23" s="758">
        <f>IF(A23=6,IF(D23&lt;=8000,0.0075*D23+69,0.007*D23+73),IF(A23=7,IF(D23&lt;=8000,0.0075*D23+64,0.0085*D23+56),IF(A23=101,IF(D23&lt;=8000,0.0073*D23+51,0.0085*D23+32),IF(A23=8,IF(D23&lt;=8000,0.007*D23+61,0.009*D23+44.667),IF(A23=9,IF(D23&lt;=8000,0.0075*D23+47,0.009*D23+23),IF(A23=10,IF(D23&lt;=8000,0.0075*D23+45,0.0093*D23+27),IF(A23=11,IF(D23&lt;=7000,0.0075*D23+38.5,0.01*D23+21),IF(A23=51,0.0058*D23+7.0627,IF(A23=52,0.0055*D23+6.8356,IF(A23=53,0.0052*D23+6.0136,VLOOKUP(B23,'Daten Tierhaltung'!$B$7:$J$110,4,FALSE)))))))))))</f>
        <v>0</v>
      </c>
      <c r="K23" s="758">
        <f>IF(A23=6,IF(D23&lt;=8000,0.0035*D23+15,0.002*D23+27),IF(A23=7,IF(D23&lt;=8000,0.003*D23+19,0.0025*D23+23),IF(A23=101,IF(D23&lt;=8000,0.0015*D23+24,0.0015*D23+26),IF(A23=8,IF(D23&lt;=8000,0.0025*D23+22,0.0025*D23+22),IF(A23=9,IF(D23&lt;=8000,0.0015*D23+23,0.0015*D23+24),IF(A23=10,IF(D23&lt;=8000,0.001*D23+27,0.001*D23+31.5),IF(A23=11,IF(D23&lt;=7000,0.002*D23+2.2,0.001*D23+7.5),IF(A23=51,0.0009*D23+4.1288,IF(A23=52,0.0014*D23+3.0932,IF(A23=53,0.0006*D23+3.3542,VLOOKUP(B23,'Daten Tierhaltung'!$B$7:$J$110,5,FALSE)))))))))))</f>
        <v>0</v>
      </c>
      <c r="L23" s="758">
        <f>IF(A23=6,IF(D23&lt;=8000,0.004*D23+110,0.004*D23+110),IF(A23=7,IF(D23&lt;=8000,0.0025*D23+114,0.0045*D23+98),IF(A23=101,IF(D23&lt;=8000,0.0025*D23+98,0.0045*D23+96),IF(A23=8,IF(D23&lt;=8000,0.007*D23+67,0.004*D23+91),IF(A23=9,IF(D23&lt;=8000,0.006*D23+68,0.0045*D23+80),IF(A23=10,IF(D23&lt;=8000,0.006*D23+58,0.0045*D23+80),IF(A23=11,IF(D23&lt;=7000,0.006*D23+54,0.006*D23+54),IF(A23=51,0.0023*D23+3.9271,IF(A23=52,0.0028*D23+3.3915,IF(A23=53,0.0024*D23+3.522,VLOOKUP(B23,'Daten Tierhaltung'!$B$7:$J$110,6,FALSE)))))))))))</f>
        <v>0</v>
      </c>
      <c r="M23" s="758">
        <f t="shared" si="7"/>
        <v>0</v>
      </c>
      <c r="N23" s="758" t="str">
        <f>IF(C23="Abgabe an andere Betriebe",E23*J23*(($F23/365*VLOOKUP(B23,'Daten Tierhaltung'!$B$7:$S$110,17,FALSE))+(($G23/365*VLOOKUP(B23,'Daten Tierhaltung'!$B$7:$S$110,18,FALSE)))),"0")</f>
        <v>0</v>
      </c>
      <c r="O23" s="758">
        <f>IF(C23="auf selbst bewirtschaft. Flächen",E23*J23*(($F23/365*VLOOKUP(B23,'Daten Tierhaltung'!$B$7:$S$110,17,FALSE))+(($G23/365*VLOOKUP(B23,'Daten Tierhaltung'!$B$7:$S$110,18,FALSE)))),"0")</f>
        <v>0</v>
      </c>
      <c r="P23" s="753">
        <f>E23*I23/365*VLOOKUP(B23,'Daten Tierhaltung'!$B$7:$V$110,18,FALSE)*J23</f>
        <v>0</v>
      </c>
      <c r="Q23" s="753" t="str">
        <f>IF(C23="in eigene Biogasanlage",E23*J23*((0.95*F23/365*VLOOKUP(B23,'Daten Tierhaltung'!$B$7:$V$110,17,FALSE))+((0.95*G23/365*VLOOKUP(B23,'Daten Tierhaltung'!$B$7:$V$110,18,FALSE)))),"0")</f>
        <v>0</v>
      </c>
      <c r="R23" s="20">
        <f>E23*IF(A23=6,IF(D23&lt;=8000,0.0015*D23+99,0.001*D23+103),IF(A23=7,IF(D23&lt;=8000,0.0005*D23+95,0.001*D23+91),IF(A23=101,IF(D23&lt;=8000,0.005*D23+56,0.005*D23+56),IF(A23=8,IF(D23&lt;=8000,0.0035*D23+65,0.002*D23+77),IF(A23=9,IF(D23&lt;=8000,0.0035*D23+51,0.003*D23+59),IF(A23=10,IF(D23&lt;=8000,0.0035*D23+50.5,0.0035*D23+56),IF(A23=11,IF(D23&lt;=7000,0.0035*D23+50,0.0025*D23+57.5),VLOOKUP(B23,'Daten Tierhaltung'!$B$7:$J$110,7,FALSE))))))))</f>
        <v>0</v>
      </c>
      <c r="S23" s="20">
        <f>E23*IF(A23=6,IF(D23&lt;=8000,0.0005*D23+30,0.001*D23+26),IF(A23=7,IF(D23&lt;=8000,0.0005*D23+28,0.0005*D23+28),IF(A23=101,IF(D23&lt;=8000,0.0015*D23+18.5,0.0015*D23+19.5),IF(A23=8,IF(D23&lt;=8000,0.0015*D23+19,0.0008*D23+25),IF(A23=9,IF(D23&lt;=8000,0.0015*D23+17,0.0015*D23+17.5),IF(A23=10,IF(D23&lt;=8000,0.001*D23+18.3,0.001*D23+20.4),IF(A23=11,IF(D23&lt;=7000,0.0013*D23+15,0.0013*D23+15.75),VLOOKUP(B23,'Daten Tierhaltung'!$B$7:$J$110,8,FALSE))))))))</f>
        <v>0</v>
      </c>
      <c r="T23" s="20">
        <f>E23*IF(A23=6,IF(D23&lt;=8000,0.002*D23+115,0.0015*D23+119),IF(A23=7,IF(D23&lt;=8000,0.0005*D23+118,0.001*D23+114),IF(A23=101,IF(D23&lt;=8000,0.0005*D23+76,0.001*D23+80),IF(A23=8,IF(D23&lt;=8000,0.004*D23+75,0.003*D23+83),IF(A23=9,IF(D23&lt;=8000,0.004*D23+69,0.0028*D23+79),IF(A23=10,IF(D23&lt;=8000,0.004*D23+60,0.0028*D23+75),IF(A23=11,IF(D23&lt;=7000,0.0045*D23+55,0.0025*D23+69.5),VLOOKUP(B23,'Daten Tierhaltung'!$B$7:$J$110,9,FALSE))))))))</f>
        <v>0</v>
      </c>
      <c r="U23" s="20">
        <f>IF(B23="leer",0,IF(G23&gt;60.8333,(IF(OR(A23=6,A23=7,A23=8,A23=9, A23=10, A23=101),IF(D23&lt;8000,(0.15*D23+6300)/1000,(0.25*D23+5500)/1000),IF(A23=11,(0.25*D23+5650)/1000,VLOOKUP(B23,'Daten Tierhaltung'!$B$7:$Q$110,11,FALSE))))*1/3*Tierhaltung!E23,IF(OR(A23=6,A23=7,A23=8,A23=9, A23=10,A23=101),(0.15*D23+6300)/1000,IF(A23=11,(0.25*D23+5650)/1000,VLOOKUP(B23,'Daten Tierhaltung'!$B$7:$Z$110,11,FALSE)))*G23*E23/182.5))</f>
        <v>0</v>
      </c>
      <c r="V23" s="20">
        <f>IF(B23="leer",0,IF(F23&gt;182.5,IF(OR(A23=6,A23=7,A23=8,A23=9,A23=10,A23=101),(0.25*D23+8000)/1000,VLOOKUP(B23,'Daten Tierhaltung'!$B$7:$Q$81,13,FALSE))*E23,IF(OR(A23=6,A23=7,A23=8,A23=9,A23=10,A23=101),(0.25*D23+8000)/1000,VLOOKUP(B23,'Daten Tierhaltung'!$B$7:$Z$110,13,FALSE))*E23*F23/182.5))</f>
        <v>0</v>
      </c>
      <c r="W23" s="20">
        <f t="shared" si="0"/>
        <v>0</v>
      </c>
      <c r="X23" s="394">
        <f t="shared" si="8"/>
        <v>0</v>
      </c>
      <c r="Y23" s="394">
        <f>IF(B23="leer",0,(IF(F23&gt;=182.5,0,IF(I23&gt;=182.5,(365-I23-F23)*IF(OR(A23=6,A23=7,A23=8,A23=9,A23=10,A23=101),((0.1*D23+2400)/1000)/182.5,VLOOKUP(B23,'Daten Tierhaltung'!$B$7:$Q$110,16,FALSE)),(182.5-F23)*IF(OR(A23=6,A23=7,A23=8,A23=9,A23=10,A23=101),((0.1*D23+2400)/1000)/182.5,(VLOOKUP(B23,'Daten Tierhaltung'!$B$7:$Q$110,16,FALSE)))))))</f>
        <v>0</v>
      </c>
      <c r="Z23" s="394">
        <f>IF(B23="leer",0,(IF(F23&gt;=182.5,0,IF(I23&gt;=182.5,(365-I23-F23)*IF(OR(A23=6,A23=7,A23=8,A23=9,A23=10,A23=101),((0.1*D23+2400)/1000)/(182.5*2),VLOOKUP(B23,'Daten Tierhaltung'!$B$7:$Q$110,16,FALSE)/2),(182.5-F23)*IF(OR(A23=6,A23=7,A23=8,A23=9,A23=10,A23=101),((0.1*D23+2400)/1000)/(182.5*2),(VLOOKUP(B23,'Daten Tierhaltung'!$B$7:$Z$110,16,FALSE)/2))))))</f>
        <v>0</v>
      </c>
      <c r="AA23" s="394">
        <f t="shared" si="1"/>
        <v>0</v>
      </c>
      <c r="AB23" s="394">
        <f>E23*J23*(F23/365*VLOOKUP(B23,'Daten Tierhaltung'!$B$7:$Z$110,22,FALSE)/100+(G23/365*VLOOKUP(B23,'Daten Tierhaltung'!$B$7:$Z$110,23,FALSE))/100)</f>
        <v>0</v>
      </c>
      <c r="AC23" s="394">
        <f>IF(C23="Abgabe an andere Betriebe",0,IF(C23="in eigene Biogasanlage",(E23*J23*((F23+G23)/365)-AB23)*0.1,IF(C23="auf selbst bewirtschaft. Flächen",(E23*J23*((F23+G23)/365)-AB23)*((F23/365*VLOOKUP(B23,'Daten Tierhaltung'!$B$7:$Z$110,24,FALSE)+(G23+I23)/365*VLOOKUP(B23,'Daten Tierhaltung'!$B$7:$Z$110,25,FALSE))/100),0)))</f>
        <v>0</v>
      </c>
      <c r="AD23" s="394">
        <f t="shared" si="2"/>
        <v>0</v>
      </c>
      <c r="AE23" s="20">
        <f t="shared" si="3"/>
        <v>0</v>
      </c>
      <c r="AF23" s="20">
        <f t="shared" si="4"/>
        <v>0</v>
      </c>
      <c r="AG23" s="20">
        <f t="shared" si="5"/>
        <v>0</v>
      </c>
    </row>
    <row r="24" spans="1:33" s="363" customFormat="1">
      <c r="A24" s="1056">
        <f>VLOOKUP(B24,'Daten Tierhaltung'!$B$7:$Z$108,2,FALSE)</f>
        <v>0</v>
      </c>
      <c r="B24" s="820" t="s">
        <v>163</v>
      </c>
      <c r="C24" s="820" t="s">
        <v>223</v>
      </c>
      <c r="D24" s="821">
        <v>0</v>
      </c>
      <c r="E24" s="821">
        <v>0</v>
      </c>
      <c r="F24" s="757">
        <f t="shared" si="6"/>
        <v>365</v>
      </c>
      <c r="G24" s="821">
        <v>0</v>
      </c>
      <c r="H24" s="820" t="s">
        <v>106</v>
      </c>
      <c r="I24" s="821">
        <v>0</v>
      </c>
      <c r="J24" s="758">
        <f>IF(A24=6,IF(D24&lt;=8000,0.0075*D24+69,0.007*D24+73),IF(A24=7,IF(D24&lt;=8000,0.0075*D24+64,0.0085*D24+56),IF(A24=101,IF(D24&lt;=8000,0.0073*D24+51,0.0085*D24+32),IF(A24=8,IF(D24&lt;=8000,0.007*D24+61,0.009*D24+44.667),IF(A24=9,IF(D24&lt;=8000,0.0075*D24+47,0.009*D24+23),IF(A24=10,IF(D24&lt;=8000,0.0075*D24+45,0.0093*D24+27),IF(A24=11,IF(D24&lt;=7000,0.0075*D24+38.5,0.01*D24+21),IF(A24=51,0.0058*D24+7.0627,IF(A24=52,0.0055*D24+6.8356,IF(A24=53,0.0052*D24+6.0136,VLOOKUP(B24,'Daten Tierhaltung'!$B$7:$J$110,4,FALSE)))))))))))</f>
        <v>0</v>
      </c>
      <c r="K24" s="758">
        <f>IF(A24=6,IF(D24&lt;=8000,0.0035*D24+15,0.002*D24+27),IF(A24=7,IF(D24&lt;=8000,0.003*D24+19,0.0025*D24+23),IF(A24=101,IF(D24&lt;=8000,0.0015*D24+24,0.0015*D24+26),IF(A24=8,IF(D24&lt;=8000,0.0025*D24+22,0.0025*D24+22),IF(A24=9,IF(D24&lt;=8000,0.0015*D24+23,0.0015*D24+24),IF(A24=10,IF(D24&lt;=8000,0.001*D24+27,0.001*D24+31.5),IF(A24=11,IF(D24&lt;=7000,0.002*D24+2.2,0.001*D24+7.5),IF(A24=51,0.0009*D24+4.1288,IF(A24=52,0.0014*D24+3.0932,IF(A24=53,0.0006*D24+3.3542,VLOOKUP(B24,'Daten Tierhaltung'!$B$7:$J$110,5,FALSE)))))))))))</f>
        <v>0</v>
      </c>
      <c r="L24" s="758">
        <f>IF(A24=6,IF(D24&lt;=8000,0.004*D24+110,0.004*D24+110),IF(A24=7,IF(D24&lt;=8000,0.0025*D24+114,0.0045*D24+98),IF(A24=101,IF(D24&lt;=8000,0.0025*D24+98,0.0045*D24+96),IF(A24=8,IF(D24&lt;=8000,0.007*D24+67,0.004*D24+91),IF(A24=9,IF(D24&lt;=8000,0.006*D24+68,0.0045*D24+80),IF(A24=10,IF(D24&lt;=8000,0.006*D24+58,0.0045*D24+80),IF(A24=11,IF(D24&lt;=7000,0.006*D24+54,0.006*D24+54),IF(A24=51,0.0023*D24+3.9271,IF(A24=52,0.0028*D24+3.3915,IF(A24=53,0.0024*D24+3.522,VLOOKUP(B24,'Daten Tierhaltung'!$B$7:$J$110,6,FALSE)))))))))))</f>
        <v>0</v>
      </c>
      <c r="M24" s="758">
        <f t="shared" si="7"/>
        <v>0</v>
      </c>
      <c r="N24" s="758" t="str">
        <f>IF(C24="Abgabe an andere Betriebe",E24*J24*(($F24/365*VLOOKUP(B24,'Daten Tierhaltung'!$B$7:$S$110,17,FALSE))+(($G24/365*VLOOKUP(B24,'Daten Tierhaltung'!$B$7:$S$110,18,FALSE)))),"0")</f>
        <v>0</v>
      </c>
      <c r="O24" s="758">
        <f>IF(C24="auf selbst bewirtschaft. Flächen",E24*J24*(($F24/365*VLOOKUP(B24,'Daten Tierhaltung'!$B$7:$S$110,17,FALSE))+(($G24/365*VLOOKUP(B24,'Daten Tierhaltung'!$B$7:$S$110,18,FALSE)))),"0")</f>
        <v>0</v>
      </c>
      <c r="P24" s="753">
        <f>E24*I24/365*VLOOKUP(B24,'Daten Tierhaltung'!$B$7:$V$110,18,FALSE)*J24</f>
        <v>0</v>
      </c>
      <c r="Q24" s="753" t="str">
        <f>IF(C24="in eigene Biogasanlage",E24*J24*((0.95*F24/365*VLOOKUP(B24,'Daten Tierhaltung'!$B$7:$V$110,17,FALSE))+((0.95*G24/365*VLOOKUP(B24,'Daten Tierhaltung'!$B$7:$V$110,18,FALSE)))),"0")</f>
        <v>0</v>
      </c>
      <c r="R24" s="20">
        <f>E24*IF(A24=6,IF(D24&lt;=8000,0.0015*D24+99,0.001*D24+103),IF(A24=7,IF(D24&lt;=8000,0.0005*D24+95,0.001*D24+91),IF(A24=101,IF(D24&lt;=8000,0.005*D24+56,0.005*D24+56),IF(A24=8,IF(D24&lt;=8000,0.0035*D24+65,0.002*D24+77),IF(A24=9,IF(D24&lt;=8000,0.0035*D24+51,0.003*D24+59),IF(A24=10,IF(D24&lt;=8000,0.0035*D24+50.5,0.0035*D24+56),IF(A24=11,IF(D24&lt;=7000,0.0035*D24+50,0.0025*D24+57.5),VLOOKUP(B24,'Daten Tierhaltung'!$B$7:$J$110,7,FALSE))))))))</f>
        <v>0</v>
      </c>
      <c r="S24" s="20">
        <f>E24*IF(A24=6,IF(D24&lt;=8000,0.0005*D24+30,0.001*D24+26),IF(A24=7,IF(D24&lt;=8000,0.0005*D24+28,0.0005*D24+28),IF(A24=101,IF(D24&lt;=8000,0.0015*D24+18.5,0.0015*D24+19.5),IF(A24=8,IF(D24&lt;=8000,0.0015*D24+19,0.0008*D24+25),IF(A24=9,IF(D24&lt;=8000,0.0015*D24+17,0.0015*D24+17.5),IF(A24=10,IF(D24&lt;=8000,0.001*D24+18.3,0.001*D24+20.4),IF(A24=11,IF(D24&lt;=7000,0.0013*D24+15,0.0013*D24+15.75),VLOOKUP(B24,'Daten Tierhaltung'!$B$7:$J$110,8,FALSE))))))))</f>
        <v>0</v>
      </c>
      <c r="T24" s="20">
        <f>E24*IF(A24=6,IF(D24&lt;=8000,0.002*D24+115,0.0015*D24+119),IF(A24=7,IF(D24&lt;=8000,0.0005*D24+118,0.001*D24+114),IF(A24=101,IF(D24&lt;=8000,0.0005*D24+76,0.001*D24+80),IF(A24=8,IF(D24&lt;=8000,0.004*D24+75,0.003*D24+83),IF(A24=9,IF(D24&lt;=8000,0.004*D24+69,0.0028*D24+79),IF(A24=10,IF(D24&lt;=8000,0.004*D24+60,0.0028*D24+75),IF(A24=11,IF(D24&lt;=7000,0.0045*D24+55,0.0025*D24+69.5),VLOOKUP(B24,'Daten Tierhaltung'!$B$7:$J$110,9,FALSE))))))))</f>
        <v>0</v>
      </c>
      <c r="U24" s="20">
        <f>IF(B24="leer",0,IF(G24&gt;60.8333,(IF(OR(A24=6,A24=7,A24=8,A24=9, A24=10, A24=101),IF(D24&lt;8000,(0.15*D24+6300)/1000,(0.25*D24+5500)/1000),IF(A24=11,(0.25*D24+5650)/1000,VLOOKUP(B24,'Daten Tierhaltung'!$B$7:$Q$110,11,FALSE))))*1/3*Tierhaltung!E24,IF(OR(A24=6,A24=7,A24=8,A24=9, A24=10,A24=101),(0.15*D24+6300)/1000,IF(A24=11,(0.25*D24+5650)/1000,VLOOKUP(B24,'Daten Tierhaltung'!$B$7:$Z$110,11,FALSE)))*G24*E24/182.5))</f>
        <v>0</v>
      </c>
      <c r="V24" s="20">
        <f>IF(B24="leer",0,IF(F24&gt;182.5,IF(OR(A24=6,A24=7,A24=8,A24=9,A24=10,A24=101),(0.25*D24+8000)/1000,VLOOKUP(B24,'Daten Tierhaltung'!$B$7:$Q$81,13,FALSE))*E24,IF(OR(A24=6,A24=7,A24=8,A24=9,A24=10,A24=101),(0.25*D24+8000)/1000,VLOOKUP(B24,'Daten Tierhaltung'!$B$7:$Z$110,13,FALSE))*E24*F24/182.5))</f>
        <v>0</v>
      </c>
      <c r="W24" s="20">
        <f t="shared" si="0"/>
        <v>0</v>
      </c>
      <c r="X24" s="394">
        <f t="shared" si="8"/>
        <v>0</v>
      </c>
      <c r="Y24" s="394">
        <f>IF(B24="leer",0,(IF(F24&gt;=182.5,0,IF(I24&gt;=182.5,(365-I24-F24)*IF(OR(A24=6,A24=7,A24=8,A24=9,A24=10,A24=101),((0.1*D24+2400)/1000)/182.5,VLOOKUP(B24,'Daten Tierhaltung'!$B$7:$Q$110,16,FALSE)),(182.5-F24)*IF(OR(A24=6,A24=7,A24=8,A24=9,A24=10,A24=101),((0.1*D24+2400)/1000)/182.5,(VLOOKUP(B24,'Daten Tierhaltung'!$B$7:$Q$110,16,FALSE)))))))</f>
        <v>0</v>
      </c>
      <c r="Z24" s="394">
        <f>IF(B24="leer",0,(IF(F24&gt;=182.5,0,IF(I24&gt;=182.5,(365-I24-F24)*IF(OR(A24=6,A24=7,A24=8,A24=9,A24=10,A24=101),((0.1*D24+2400)/1000)/(182.5*2),VLOOKUP(B24,'Daten Tierhaltung'!$B$7:$Q$110,16,FALSE)/2),(182.5-F24)*IF(OR(A24=6,A24=7,A24=8,A24=9,A24=10,A24=101),((0.1*D24+2400)/1000)/(182.5*2),(VLOOKUP(B24,'Daten Tierhaltung'!$B$7:$Z$110,16,FALSE)/2))))))</f>
        <v>0</v>
      </c>
      <c r="AA24" s="394">
        <f t="shared" si="1"/>
        <v>0</v>
      </c>
      <c r="AB24" s="394">
        <f>E24*J24*(F24/365*VLOOKUP(B24,'Daten Tierhaltung'!$B$7:$Z$110,22,FALSE)/100+(G24/365*VLOOKUP(B24,'Daten Tierhaltung'!$B$7:$Z$110,23,FALSE))/100)</f>
        <v>0</v>
      </c>
      <c r="AC24" s="394">
        <f>IF(C24="Abgabe an andere Betriebe",0,IF(C24="in eigene Biogasanlage",(E24*J24*((F24+G24)/365)-AB24)*0.1,IF(C24="auf selbst bewirtschaft. Flächen",(E24*J24*((F24+G24)/365)-AB24)*((F24/365*VLOOKUP(B24,'Daten Tierhaltung'!$B$7:$Z$110,24,FALSE)+(G24+I24)/365*VLOOKUP(B24,'Daten Tierhaltung'!$B$7:$Z$110,25,FALSE))/100),0)))</f>
        <v>0</v>
      </c>
      <c r="AD24" s="394">
        <f t="shared" si="2"/>
        <v>0</v>
      </c>
      <c r="AE24" s="20">
        <f t="shared" si="3"/>
        <v>0</v>
      </c>
      <c r="AF24" s="20">
        <f t="shared" si="4"/>
        <v>0</v>
      </c>
      <c r="AG24" s="20">
        <f t="shared" si="5"/>
        <v>0</v>
      </c>
    </row>
    <row r="25" spans="1:33" s="363" customFormat="1">
      <c r="A25" s="1056">
        <f>VLOOKUP(B25,'Daten Tierhaltung'!$B$7:$Z$108,2,FALSE)</f>
        <v>0</v>
      </c>
      <c r="B25" s="820" t="s">
        <v>163</v>
      </c>
      <c r="C25" s="820" t="s">
        <v>223</v>
      </c>
      <c r="D25" s="821">
        <v>0</v>
      </c>
      <c r="E25" s="821">
        <v>0</v>
      </c>
      <c r="F25" s="757">
        <f t="shared" si="6"/>
        <v>365</v>
      </c>
      <c r="G25" s="821">
        <v>0</v>
      </c>
      <c r="H25" s="820" t="s">
        <v>106</v>
      </c>
      <c r="I25" s="821">
        <v>0</v>
      </c>
      <c r="J25" s="758">
        <f>IF(A25=6,IF(D25&lt;=8000,0.0075*D25+69,0.007*D25+73),IF(A25=7,IF(D25&lt;=8000,0.0075*D25+64,0.0085*D25+56),IF(A25=101,IF(D25&lt;=8000,0.0073*D25+51,0.0085*D25+32),IF(A25=8,IF(D25&lt;=8000,0.007*D25+61,0.009*D25+44.667),IF(A25=9,IF(D25&lt;=8000,0.0075*D25+47,0.009*D25+23),IF(A25=10,IF(D25&lt;=8000,0.0075*D25+45,0.0093*D25+27),IF(A25=11,IF(D25&lt;=7000,0.0075*D25+38.5,0.01*D25+21),IF(A25=51,0.0058*D25+7.0627,IF(A25=52,0.0055*D25+6.8356,IF(A25=53,0.0052*D25+6.0136,VLOOKUP(B25,'Daten Tierhaltung'!$B$7:$J$110,4,FALSE)))))))))))</f>
        <v>0</v>
      </c>
      <c r="K25" s="758">
        <f>IF(A25=6,IF(D25&lt;=8000,0.0035*D25+15,0.002*D25+27),IF(A25=7,IF(D25&lt;=8000,0.003*D25+19,0.0025*D25+23),IF(A25=101,IF(D25&lt;=8000,0.0015*D25+24,0.0015*D25+26),IF(A25=8,IF(D25&lt;=8000,0.0025*D25+22,0.0025*D25+22),IF(A25=9,IF(D25&lt;=8000,0.0015*D25+23,0.0015*D25+24),IF(A25=10,IF(D25&lt;=8000,0.001*D25+27,0.001*D25+31.5),IF(A25=11,IF(D25&lt;=7000,0.002*D25+2.2,0.001*D25+7.5),IF(A25=51,0.0009*D25+4.1288,IF(A25=52,0.0014*D25+3.0932,IF(A25=53,0.0006*D25+3.3542,VLOOKUP(B25,'Daten Tierhaltung'!$B$7:$J$110,5,FALSE)))))))))))</f>
        <v>0</v>
      </c>
      <c r="L25" s="758">
        <f>IF(A25=6,IF(D25&lt;=8000,0.004*D25+110,0.004*D25+110),IF(A25=7,IF(D25&lt;=8000,0.0025*D25+114,0.0045*D25+98),IF(A25=101,IF(D25&lt;=8000,0.0025*D25+98,0.0045*D25+96),IF(A25=8,IF(D25&lt;=8000,0.007*D25+67,0.004*D25+91),IF(A25=9,IF(D25&lt;=8000,0.006*D25+68,0.0045*D25+80),IF(A25=10,IF(D25&lt;=8000,0.006*D25+58,0.0045*D25+80),IF(A25=11,IF(D25&lt;=7000,0.006*D25+54,0.006*D25+54),IF(A25=51,0.0023*D25+3.9271,IF(A25=52,0.0028*D25+3.3915,IF(A25=53,0.0024*D25+3.522,VLOOKUP(B25,'Daten Tierhaltung'!$B$7:$J$110,6,FALSE)))))))))))</f>
        <v>0</v>
      </c>
      <c r="M25" s="758">
        <f t="shared" si="7"/>
        <v>0</v>
      </c>
      <c r="N25" s="758" t="str">
        <f>IF(C25="Abgabe an andere Betriebe",E25*J25*(($F25/365*VLOOKUP(B25,'Daten Tierhaltung'!$B$7:$S$110,17,FALSE))+(($G25/365*VLOOKUP(B25,'Daten Tierhaltung'!$B$7:$S$110,18,FALSE)))),"0")</f>
        <v>0</v>
      </c>
      <c r="O25" s="758">
        <f>IF(C25="auf selbst bewirtschaft. Flächen",E25*J25*(($F25/365*VLOOKUP(B25,'Daten Tierhaltung'!$B$7:$S$110,17,FALSE))+(($G25/365*VLOOKUP(B25,'Daten Tierhaltung'!$B$7:$S$110,18,FALSE)))),"0")</f>
        <v>0</v>
      </c>
      <c r="P25" s="753">
        <f>E25*I25/365*VLOOKUP(B25,'Daten Tierhaltung'!$B$7:$V$110,18,FALSE)*J25</f>
        <v>0</v>
      </c>
      <c r="Q25" s="753" t="str">
        <f>IF(C25="in eigene Biogasanlage",E25*J25*((0.95*F25/365*VLOOKUP(B25,'Daten Tierhaltung'!$B$7:$V$110,17,FALSE))+((0.95*G25/365*VLOOKUP(B25,'Daten Tierhaltung'!$B$7:$V$110,18,FALSE)))),"0")</f>
        <v>0</v>
      </c>
      <c r="R25" s="20">
        <f>E25*IF(A25=6,IF(D25&lt;=8000,0.0015*D25+99,0.001*D25+103),IF(A25=7,IF(D25&lt;=8000,0.0005*D25+95,0.001*D25+91),IF(A25=101,IF(D25&lt;=8000,0.005*D25+56,0.005*D25+56),IF(A25=8,IF(D25&lt;=8000,0.0035*D25+65,0.002*D25+77),IF(A25=9,IF(D25&lt;=8000,0.0035*D25+51,0.003*D25+59),IF(A25=10,IF(D25&lt;=8000,0.0035*D25+50.5,0.0035*D25+56),IF(A25=11,IF(D25&lt;=7000,0.0035*D25+50,0.0025*D25+57.5),VLOOKUP(B25,'Daten Tierhaltung'!$B$7:$J$110,7,FALSE))))))))</f>
        <v>0</v>
      </c>
      <c r="S25" s="20">
        <f>E25*IF(A25=6,IF(D25&lt;=8000,0.0005*D25+30,0.001*D25+26),IF(A25=7,IF(D25&lt;=8000,0.0005*D25+28,0.0005*D25+28),IF(A25=101,IF(D25&lt;=8000,0.0015*D25+18.5,0.0015*D25+19.5),IF(A25=8,IF(D25&lt;=8000,0.0015*D25+19,0.0008*D25+25),IF(A25=9,IF(D25&lt;=8000,0.0015*D25+17,0.0015*D25+17.5),IF(A25=10,IF(D25&lt;=8000,0.001*D25+18.3,0.001*D25+20.4),IF(A25=11,IF(D25&lt;=7000,0.0013*D25+15,0.0013*D25+15.75),VLOOKUP(B25,'Daten Tierhaltung'!$B$7:$J$110,8,FALSE))))))))</f>
        <v>0</v>
      </c>
      <c r="T25" s="20">
        <f>E25*IF(A25=6,IF(D25&lt;=8000,0.002*D25+115,0.0015*D25+119),IF(A25=7,IF(D25&lt;=8000,0.0005*D25+118,0.001*D25+114),IF(A25=101,IF(D25&lt;=8000,0.0005*D25+76,0.001*D25+80),IF(A25=8,IF(D25&lt;=8000,0.004*D25+75,0.003*D25+83),IF(A25=9,IF(D25&lt;=8000,0.004*D25+69,0.0028*D25+79),IF(A25=10,IF(D25&lt;=8000,0.004*D25+60,0.0028*D25+75),IF(A25=11,IF(D25&lt;=7000,0.0045*D25+55,0.0025*D25+69.5),VLOOKUP(B25,'Daten Tierhaltung'!$B$7:$J$110,9,FALSE))))))))</f>
        <v>0</v>
      </c>
      <c r="U25" s="20">
        <f>IF(B25="leer",0,IF(G25&gt;60.8333,(IF(OR(A25=6,A25=7,A25=8,A25=9, A25=10, A25=101),IF(D25&lt;8000,(0.15*D25+6300)/1000,(0.25*D25+5500)/1000),IF(A25=11,(0.25*D25+5650)/1000,VLOOKUP(B25,'Daten Tierhaltung'!$B$7:$Q$110,11,FALSE))))*1/3*Tierhaltung!E25,IF(OR(A25=6,A25=7,A25=8,A25=9, A25=10,A25=101),(0.15*D25+6300)/1000,IF(A25=11,(0.25*D25+5650)/1000,VLOOKUP(B25,'Daten Tierhaltung'!$B$7:$Z$110,11,FALSE)))*G25*E25/182.5))</f>
        <v>0</v>
      </c>
      <c r="V25" s="20">
        <f>IF(B25="leer",0,IF(F25&gt;182.5,IF(OR(A25=6,A25=7,A25=8,A25=9,A25=10,A25=101),(0.25*D25+8000)/1000,VLOOKUP(B25,'Daten Tierhaltung'!$B$7:$Q$81,13,FALSE))*E25,IF(OR(A25=6,A25=7,A25=8,A25=9,A25=10,A25=101),(0.25*D25+8000)/1000,VLOOKUP(B25,'Daten Tierhaltung'!$B$7:$Z$110,13,FALSE))*E25*F25/182.5))</f>
        <v>0</v>
      </c>
      <c r="W25" s="20">
        <f t="shared" si="0"/>
        <v>0</v>
      </c>
      <c r="X25" s="394">
        <f t="shared" si="8"/>
        <v>0</v>
      </c>
      <c r="Y25" s="394">
        <f>IF(B25="leer",0,(IF(F25&gt;=182.5,0,IF(I25&gt;=182.5,(365-I25-F25)*IF(OR(A25=6,A25=7,A25=8,A25=9,A25=10,A25=101),((0.1*D25+2400)/1000)/182.5,VLOOKUP(B25,'Daten Tierhaltung'!$B$7:$Q$110,16,FALSE)),(182.5-F25)*IF(OR(A25=6,A25=7,A25=8,A25=9,A25=10,A25=101),((0.1*D25+2400)/1000)/182.5,(VLOOKUP(B25,'Daten Tierhaltung'!$B$7:$Q$110,16,FALSE)))))))</f>
        <v>0</v>
      </c>
      <c r="Z25" s="394">
        <f>IF(B25="leer",0,(IF(F25&gt;=182.5,0,IF(I25&gt;=182.5,(365-I25-F25)*IF(OR(A25=6,A25=7,A25=8,A25=9,A25=10,A25=101),((0.1*D25+2400)/1000)/(182.5*2),VLOOKUP(B25,'Daten Tierhaltung'!$B$7:$Q$110,16,FALSE)/2),(182.5-F25)*IF(OR(A25=6,A25=7,A25=8,A25=9,A25=10,A25=101),((0.1*D25+2400)/1000)/(182.5*2),(VLOOKUP(B25,'Daten Tierhaltung'!$B$7:$Z$110,16,FALSE)/2))))))</f>
        <v>0</v>
      </c>
      <c r="AA25" s="394">
        <f t="shared" si="1"/>
        <v>0</v>
      </c>
      <c r="AB25" s="394">
        <f>E25*J25*(F25/365*VLOOKUP(B25,'Daten Tierhaltung'!$B$7:$Z$110,22,FALSE)/100+(G25/365*VLOOKUP(B25,'Daten Tierhaltung'!$B$7:$Z$110,23,FALSE))/100)</f>
        <v>0</v>
      </c>
      <c r="AC25" s="394">
        <f>IF(C25="Abgabe an andere Betriebe",0,IF(C25="in eigene Biogasanlage",(E25*J25*((F25+G25)/365)-AB25)*0.1,IF(C25="auf selbst bewirtschaft. Flächen",(E25*J25*((F25+G25)/365)-AB25)*((F25/365*VLOOKUP(B25,'Daten Tierhaltung'!$B$7:$Z$110,24,FALSE)+(G25+I25)/365*VLOOKUP(B25,'Daten Tierhaltung'!$B$7:$Z$110,25,FALSE))/100),0)))</f>
        <v>0</v>
      </c>
      <c r="AD25" s="394">
        <f t="shared" si="2"/>
        <v>0</v>
      </c>
      <c r="AE25" s="20">
        <f t="shared" si="3"/>
        <v>0</v>
      </c>
      <c r="AF25" s="20">
        <f t="shared" si="4"/>
        <v>0</v>
      </c>
      <c r="AG25" s="20">
        <f t="shared" si="5"/>
        <v>0</v>
      </c>
    </row>
    <row r="26" spans="1:33" s="363" customFormat="1">
      <c r="A26" s="1056">
        <f>VLOOKUP(B26,'Daten Tierhaltung'!$B$7:$Z$108,2,FALSE)</f>
        <v>0</v>
      </c>
      <c r="B26" s="820" t="s">
        <v>163</v>
      </c>
      <c r="C26" s="820" t="s">
        <v>223</v>
      </c>
      <c r="D26" s="821">
        <v>0</v>
      </c>
      <c r="E26" s="821">
        <v>0</v>
      </c>
      <c r="F26" s="757">
        <f t="shared" si="6"/>
        <v>365</v>
      </c>
      <c r="G26" s="821">
        <v>0</v>
      </c>
      <c r="H26" s="820" t="s">
        <v>106</v>
      </c>
      <c r="I26" s="821">
        <v>0</v>
      </c>
      <c r="J26" s="758">
        <f>IF(A26=6,IF(D26&lt;=8000,0.0075*D26+69,0.007*D26+73),IF(A26=7,IF(D26&lt;=8000,0.0075*D26+64,0.0085*D26+56),IF(A26=101,IF(D26&lt;=8000,0.0073*D26+51,0.0085*D26+32),IF(A26=8,IF(D26&lt;=8000,0.007*D26+61,0.009*D26+44.667),IF(A26=9,IF(D26&lt;=8000,0.0075*D26+47,0.009*D26+23),IF(A26=10,IF(D26&lt;=8000,0.0075*D26+45,0.0093*D26+27),IF(A26=11,IF(D26&lt;=7000,0.0075*D26+38.5,0.01*D26+21),IF(A26=51,0.0058*D26+7.0627,IF(A26=52,0.0055*D26+6.8356,IF(A26=53,0.0052*D26+6.0136,VLOOKUP(B26,'Daten Tierhaltung'!$B$7:$J$110,4,FALSE)))))))))))</f>
        <v>0</v>
      </c>
      <c r="K26" s="758">
        <f>IF(A26=6,IF(D26&lt;=8000,0.0035*D26+15,0.002*D26+27),IF(A26=7,IF(D26&lt;=8000,0.003*D26+19,0.0025*D26+23),IF(A26=101,IF(D26&lt;=8000,0.0015*D26+24,0.0015*D26+26),IF(A26=8,IF(D26&lt;=8000,0.0025*D26+22,0.0025*D26+22),IF(A26=9,IF(D26&lt;=8000,0.0015*D26+23,0.0015*D26+24),IF(A26=10,IF(D26&lt;=8000,0.001*D26+27,0.001*D26+31.5),IF(A26=11,IF(D26&lt;=7000,0.002*D26+2.2,0.001*D26+7.5),IF(A26=51,0.0009*D26+4.1288,IF(A26=52,0.0014*D26+3.0932,IF(A26=53,0.0006*D26+3.3542,VLOOKUP(B26,'Daten Tierhaltung'!$B$7:$J$110,5,FALSE)))))))))))</f>
        <v>0</v>
      </c>
      <c r="L26" s="758">
        <f>IF(A26=6,IF(D26&lt;=8000,0.004*D26+110,0.004*D26+110),IF(A26=7,IF(D26&lt;=8000,0.0025*D26+114,0.0045*D26+98),IF(A26=101,IF(D26&lt;=8000,0.0025*D26+98,0.0045*D26+96),IF(A26=8,IF(D26&lt;=8000,0.007*D26+67,0.004*D26+91),IF(A26=9,IF(D26&lt;=8000,0.006*D26+68,0.0045*D26+80),IF(A26=10,IF(D26&lt;=8000,0.006*D26+58,0.0045*D26+80),IF(A26=11,IF(D26&lt;=7000,0.006*D26+54,0.006*D26+54),IF(A26=51,0.0023*D26+3.9271,IF(A26=52,0.0028*D26+3.3915,IF(A26=53,0.0024*D26+3.522,VLOOKUP(B26,'Daten Tierhaltung'!$B$7:$J$110,6,FALSE)))))))))))</f>
        <v>0</v>
      </c>
      <c r="M26" s="758">
        <f t="shared" si="7"/>
        <v>0</v>
      </c>
      <c r="N26" s="758" t="str">
        <f>IF(C26="Abgabe an andere Betriebe",E26*J26*(($F26/365*VLOOKUP(B26,'Daten Tierhaltung'!$B$7:$S$110,17,FALSE))+(($G26/365*VLOOKUP(B26,'Daten Tierhaltung'!$B$7:$S$110,18,FALSE)))),"0")</f>
        <v>0</v>
      </c>
      <c r="O26" s="758">
        <f>IF(C26="auf selbst bewirtschaft. Flächen",E26*J26*(($F26/365*VLOOKUP(B26,'Daten Tierhaltung'!$B$7:$S$110,17,FALSE))+(($G26/365*VLOOKUP(B26,'Daten Tierhaltung'!$B$7:$S$110,18,FALSE)))),"0")</f>
        <v>0</v>
      </c>
      <c r="P26" s="753">
        <f>E26*I26/365*VLOOKUP(B26,'Daten Tierhaltung'!$B$7:$V$110,18,FALSE)*J26</f>
        <v>0</v>
      </c>
      <c r="Q26" s="753" t="str">
        <f>IF(C26="in eigene Biogasanlage",E26*J26*((0.95*F26/365*VLOOKUP(B26,'Daten Tierhaltung'!$B$7:$V$110,17,FALSE))+((0.95*G26/365*VLOOKUP(B26,'Daten Tierhaltung'!$B$7:$V$110,18,FALSE)))),"0")</f>
        <v>0</v>
      </c>
      <c r="R26" s="20">
        <f>E26*IF(A26=6,IF(D26&lt;=8000,0.0015*D26+99,0.001*D26+103),IF(A26=7,IF(D26&lt;=8000,0.0005*D26+95,0.001*D26+91),IF(A26=101,IF(D26&lt;=8000,0.005*D26+56,0.005*D26+56),IF(A26=8,IF(D26&lt;=8000,0.0035*D26+65,0.002*D26+77),IF(A26=9,IF(D26&lt;=8000,0.0035*D26+51,0.003*D26+59),IF(A26=10,IF(D26&lt;=8000,0.0035*D26+50.5,0.0035*D26+56),IF(A26=11,IF(D26&lt;=7000,0.0035*D26+50,0.0025*D26+57.5),VLOOKUP(B26,'Daten Tierhaltung'!$B$7:$J$110,7,FALSE))))))))</f>
        <v>0</v>
      </c>
      <c r="S26" s="20">
        <f>E26*IF(A26=6,IF(D26&lt;=8000,0.0005*D26+30,0.001*D26+26),IF(A26=7,IF(D26&lt;=8000,0.0005*D26+28,0.0005*D26+28),IF(A26=101,IF(D26&lt;=8000,0.0015*D26+18.5,0.0015*D26+19.5),IF(A26=8,IF(D26&lt;=8000,0.0015*D26+19,0.0008*D26+25),IF(A26=9,IF(D26&lt;=8000,0.0015*D26+17,0.0015*D26+17.5),IF(A26=10,IF(D26&lt;=8000,0.001*D26+18.3,0.001*D26+20.4),IF(A26=11,IF(D26&lt;=7000,0.0013*D26+15,0.0013*D26+15.75),VLOOKUP(B26,'Daten Tierhaltung'!$B$7:$J$110,8,FALSE))))))))</f>
        <v>0</v>
      </c>
      <c r="T26" s="20">
        <f>E26*IF(A26=6,IF(D26&lt;=8000,0.002*D26+115,0.0015*D26+119),IF(A26=7,IF(D26&lt;=8000,0.0005*D26+118,0.001*D26+114),IF(A26=101,IF(D26&lt;=8000,0.0005*D26+76,0.001*D26+80),IF(A26=8,IF(D26&lt;=8000,0.004*D26+75,0.003*D26+83),IF(A26=9,IF(D26&lt;=8000,0.004*D26+69,0.0028*D26+79),IF(A26=10,IF(D26&lt;=8000,0.004*D26+60,0.0028*D26+75),IF(A26=11,IF(D26&lt;=7000,0.0045*D26+55,0.0025*D26+69.5),VLOOKUP(B26,'Daten Tierhaltung'!$B$7:$J$110,9,FALSE))))))))</f>
        <v>0</v>
      </c>
      <c r="U26" s="20">
        <f>IF(B26="leer",0,IF(G26&gt;60.8333,(IF(OR(A26=6,A26=7,A26=8,A26=9, A26=10, A26=101),IF(D26&lt;8000,(0.15*D26+6300)/1000,(0.25*D26+5500)/1000),IF(A26=11,(0.25*D26+5650)/1000,VLOOKUP(B26,'Daten Tierhaltung'!$B$7:$Q$110,11,FALSE))))*1/3*Tierhaltung!E26,IF(OR(A26=6,A26=7,A26=8,A26=9, A26=10,A26=101),(0.15*D26+6300)/1000,IF(A26=11,(0.25*D26+5650)/1000,VLOOKUP(B26,'Daten Tierhaltung'!$B$7:$Z$110,11,FALSE)))*G26*E26/182.5))</f>
        <v>0</v>
      </c>
      <c r="V26" s="20">
        <f>IF(B26="leer",0,IF(F26&gt;182.5,IF(OR(A26=6,A26=7,A26=8,A26=9,A26=10,A26=101),(0.25*D26+8000)/1000,VLOOKUP(B26,'Daten Tierhaltung'!$B$7:$Q$81,13,FALSE))*E26,IF(OR(A26=6,A26=7,A26=8,A26=9,A26=10,A26=101),(0.25*D26+8000)/1000,VLOOKUP(B26,'Daten Tierhaltung'!$B$7:$Z$110,13,FALSE))*E26*F26/182.5))</f>
        <v>0</v>
      </c>
      <c r="W26" s="20">
        <f t="shared" si="0"/>
        <v>0</v>
      </c>
      <c r="X26" s="394">
        <f t="shared" si="8"/>
        <v>0</v>
      </c>
      <c r="Y26" s="394">
        <f>IF(B26="leer",0,(IF(F26&gt;=182.5,0,IF(I26&gt;=182.5,(365-I26-F26)*IF(OR(A26=6,A26=7,A26=8,A26=9,A26=10,A26=101),((0.1*D26+2400)/1000)/182.5,VLOOKUP(B26,'Daten Tierhaltung'!$B$7:$Q$110,16,FALSE)),(182.5-F26)*IF(OR(A26=6,A26=7,A26=8,A26=9,A26=10,A26=101),((0.1*D26+2400)/1000)/182.5,(VLOOKUP(B26,'Daten Tierhaltung'!$B$7:$Q$110,16,FALSE)))))))</f>
        <v>0</v>
      </c>
      <c r="Z26" s="394">
        <f>IF(B26="leer",0,(IF(F26&gt;=182.5,0,IF(I26&gt;=182.5,(365-I26-F26)*IF(OR(A26=6,A26=7,A26=8,A26=9,A26=10,A26=101),((0.1*D26+2400)/1000)/(182.5*2),VLOOKUP(B26,'Daten Tierhaltung'!$B$7:$Q$110,16,FALSE)/2),(182.5-F26)*IF(OR(A26=6,A26=7,A26=8,A26=9,A26=10,A26=101),((0.1*D26+2400)/1000)/(182.5*2),(VLOOKUP(B26,'Daten Tierhaltung'!$B$7:$Z$110,16,FALSE)/2))))))</f>
        <v>0</v>
      </c>
      <c r="AA26" s="394">
        <f t="shared" si="1"/>
        <v>0</v>
      </c>
      <c r="AB26" s="394">
        <f>E26*J26*(F26/365*VLOOKUP(B26,'Daten Tierhaltung'!$B$7:$Z$110,22,FALSE)/100+(G26/365*VLOOKUP(B26,'Daten Tierhaltung'!$B$7:$Z$110,23,FALSE))/100)</f>
        <v>0</v>
      </c>
      <c r="AC26" s="394">
        <f>IF(C26="Abgabe an andere Betriebe",0,IF(C26="in eigene Biogasanlage",(E26*J26*((F26+G26)/365)-AB26)*0.1,IF(C26="auf selbst bewirtschaft. Flächen",(E26*J26*((F26+G26)/365)-AB26)*((F26/365*VLOOKUP(B26,'Daten Tierhaltung'!$B$7:$Z$110,24,FALSE)+(G26+I26)/365*VLOOKUP(B26,'Daten Tierhaltung'!$B$7:$Z$110,25,FALSE))/100),0)))</f>
        <v>0</v>
      </c>
      <c r="AD26" s="394">
        <f t="shared" si="2"/>
        <v>0</v>
      </c>
      <c r="AE26" s="20">
        <f t="shared" si="3"/>
        <v>0</v>
      </c>
      <c r="AF26" s="20">
        <f t="shared" si="4"/>
        <v>0</v>
      </c>
      <c r="AG26" s="20">
        <f t="shared" si="5"/>
        <v>0</v>
      </c>
    </row>
    <row r="27" spans="1:33" s="363" customFormat="1">
      <c r="A27" s="1056">
        <f>VLOOKUP(B27,'Daten Tierhaltung'!$B$7:$Z$108,2,FALSE)</f>
        <v>0</v>
      </c>
      <c r="B27" s="820" t="s">
        <v>163</v>
      </c>
      <c r="C27" s="820" t="s">
        <v>223</v>
      </c>
      <c r="D27" s="821">
        <v>0</v>
      </c>
      <c r="E27" s="821">
        <v>0</v>
      </c>
      <c r="F27" s="757">
        <f t="shared" si="6"/>
        <v>365</v>
      </c>
      <c r="G27" s="821">
        <v>0</v>
      </c>
      <c r="H27" s="820" t="s">
        <v>106</v>
      </c>
      <c r="I27" s="821">
        <v>0</v>
      </c>
      <c r="J27" s="758">
        <f>IF(A27=6,IF(D27&lt;=8000,0.0075*D27+69,0.007*D27+73),IF(A27=7,IF(D27&lt;=8000,0.0075*D27+64,0.0085*D27+56),IF(A27=101,IF(D27&lt;=8000,0.0073*D27+51,0.0085*D27+32),IF(A27=8,IF(D27&lt;=8000,0.007*D27+61,0.009*D27+44.667),IF(A27=9,IF(D27&lt;=8000,0.0075*D27+47,0.009*D27+23),IF(A27=10,IF(D27&lt;=8000,0.0075*D27+45,0.0093*D27+27),IF(A27=11,IF(D27&lt;=7000,0.0075*D27+38.5,0.01*D27+21),IF(A27=51,0.0058*D27+7.0627,IF(A27=52,0.0055*D27+6.8356,IF(A27=53,0.0052*D27+6.0136,VLOOKUP(B27,'Daten Tierhaltung'!$B$7:$J$110,4,FALSE)))))))))))</f>
        <v>0</v>
      </c>
      <c r="K27" s="758">
        <f>IF(A27=6,IF(D27&lt;=8000,0.0035*D27+15,0.002*D27+27),IF(A27=7,IF(D27&lt;=8000,0.003*D27+19,0.0025*D27+23),IF(A27=101,IF(D27&lt;=8000,0.0015*D27+24,0.0015*D27+26),IF(A27=8,IF(D27&lt;=8000,0.0025*D27+22,0.0025*D27+22),IF(A27=9,IF(D27&lt;=8000,0.0015*D27+23,0.0015*D27+24),IF(A27=10,IF(D27&lt;=8000,0.001*D27+27,0.001*D27+31.5),IF(A27=11,IF(D27&lt;=7000,0.002*D27+2.2,0.001*D27+7.5),IF(A27=51,0.0009*D27+4.1288,IF(A27=52,0.0014*D27+3.0932,IF(A27=53,0.0006*D27+3.3542,VLOOKUP(B27,'Daten Tierhaltung'!$B$7:$J$110,5,FALSE)))))))))))</f>
        <v>0</v>
      </c>
      <c r="L27" s="758">
        <f>IF(A27=6,IF(D27&lt;=8000,0.004*D27+110,0.004*D27+110),IF(A27=7,IF(D27&lt;=8000,0.0025*D27+114,0.0045*D27+98),IF(A27=101,IF(D27&lt;=8000,0.0025*D27+98,0.0045*D27+96),IF(A27=8,IF(D27&lt;=8000,0.007*D27+67,0.004*D27+91),IF(A27=9,IF(D27&lt;=8000,0.006*D27+68,0.0045*D27+80),IF(A27=10,IF(D27&lt;=8000,0.006*D27+58,0.0045*D27+80),IF(A27=11,IF(D27&lt;=7000,0.006*D27+54,0.006*D27+54),IF(A27=51,0.0023*D27+3.9271,IF(A27=52,0.0028*D27+3.3915,IF(A27=53,0.0024*D27+3.522,VLOOKUP(B27,'Daten Tierhaltung'!$B$7:$J$110,6,FALSE)))))))))))</f>
        <v>0</v>
      </c>
      <c r="M27" s="758">
        <f t="shared" si="7"/>
        <v>0</v>
      </c>
      <c r="N27" s="758" t="str">
        <f>IF(C27="Abgabe an andere Betriebe",E27*J27*(($F27/365*VLOOKUP(B27,'Daten Tierhaltung'!$B$7:$S$110,17,FALSE))+(($G27/365*VLOOKUP(B27,'Daten Tierhaltung'!$B$7:$S$110,18,FALSE)))),"0")</f>
        <v>0</v>
      </c>
      <c r="O27" s="758">
        <f>IF(C27="auf selbst bewirtschaft. Flächen",E27*J27*(($F27/365*VLOOKUP(B27,'Daten Tierhaltung'!$B$7:$S$110,17,FALSE))+(($G27/365*VLOOKUP(B27,'Daten Tierhaltung'!$B$7:$S$110,18,FALSE)))),"0")</f>
        <v>0</v>
      </c>
      <c r="P27" s="753">
        <f>E27*I27/365*VLOOKUP(B27,'Daten Tierhaltung'!$B$7:$V$110,18,FALSE)*J27</f>
        <v>0</v>
      </c>
      <c r="Q27" s="753" t="str">
        <f>IF(C27="in eigene Biogasanlage",E27*J27*((0.95*F27/365*VLOOKUP(B27,'Daten Tierhaltung'!$B$7:$V$110,17,FALSE))+((0.95*G27/365*VLOOKUP(B27,'Daten Tierhaltung'!$B$7:$V$110,18,FALSE)))),"0")</f>
        <v>0</v>
      </c>
      <c r="R27" s="20">
        <f>E27*IF(A27=6,IF(D27&lt;=8000,0.0015*D27+99,0.001*D27+103),IF(A27=7,IF(D27&lt;=8000,0.0005*D27+95,0.001*D27+91),IF(A27=101,IF(D27&lt;=8000,0.005*D27+56,0.005*D27+56),IF(A27=8,IF(D27&lt;=8000,0.0035*D27+65,0.002*D27+77),IF(A27=9,IF(D27&lt;=8000,0.0035*D27+51,0.003*D27+59),IF(A27=10,IF(D27&lt;=8000,0.0035*D27+50.5,0.0035*D27+56),IF(A27=11,IF(D27&lt;=7000,0.0035*D27+50,0.0025*D27+57.5),VLOOKUP(B27,'Daten Tierhaltung'!$B$7:$J$110,7,FALSE))))))))</f>
        <v>0</v>
      </c>
      <c r="S27" s="20">
        <f>E27*IF(A27=6,IF(D27&lt;=8000,0.0005*D27+30,0.001*D27+26),IF(A27=7,IF(D27&lt;=8000,0.0005*D27+28,0.0005*D27+28),IF(A27=101,IF(D27&lt;=8000,0.0015*D27+18.5,0.0015*D27+19.5),IF(A27=8,IF(D27&lt;=8000,0.0015*D27+19,0.0008*D27+25),IF(A27=9,IF(D27&lt;=8000,0.0015*D27+17,0.0015*D27+17.5),IF(A27=10,IF(D27&lt;=8000,0.001*D27+18.3,0.001*D27+20.4),IF(A27=11,IF(D27&lt;=7000,0.0013*D27+15,0.0013*D27+15.75),VLOOKUP(B27,'Daten Tierhaltung'!$B$7:$J$110,8,FALSE))))))))</f>
        <v>0</v>
      </c>
      <c r="T27" s="20">
        <f>E27*IF(A27=6,IF(D27&lt;=8000,0.002*D27+115,0.0015*D27+119),IF(A27=7,IF(D27&lt;=8000,0.0005*D27+118,0.001*D27+114),IF(A27=101,IF(D27&lt;=8000,0.0005*D27+76,0.001*D27+80),IF(A27=8,IF(D27&lt;=8000,0.004*D27+75,0.003*D27+83),IF(A27=9,IF(D27&lt;=8000,0.004*D27+69,0.0028*D27+79),IF(A27=10,IF(D27&lt;=8000,0.004*D27+60,0.0028*D27+75),IF(A27=11,IF(D27&lt;=7000,0.0045*D27+55,0.0025*D27+69.5),VLOOKUP(B27,'Daten Tierhaltung'!$B$7:$J$110,9,FALSE))))))))</f>
        <v>0</v>
      </c>
      <c r="U27" s="20">
        <f>IF(B27="leer",0,IF(G27&gt;60.8333,(IF(OR(A27=6,A27=7,A27=8,A27=9, A27=10, A27=101),IF(D27&lt;8000,(0.15*D27+6300)/1000,(0.25*D27+5500)/1000),IF(A27=11,(0.25*D27+5650)/1000,VLOOKUP(B27,'Daten Tierhaltung'!$B$7:$Q$110,11,FALSE))))*1/3*Tierhaltung!E27,IF(OR(A27=6,A27=7,A27=8,A27=9, A27=10,A27=101),(0.15*D27+6300)/1000,IF(A27=11,(0.25*D27+5650)/1000,VLOOKUP(B27,'Daten Tierhaltung'!$B$7:$Z$110,11,FALSE)))*G27*E27/182.5))</f>
        <v>0</v>
      </c>
      <c r="V27" s="20">
        <f>IF(B27="leer",0,IF(F27&gt;182.5,IF(OR(A27=6,A27=7,A27=8,A27=9,A27=10,A27=101),(0.25*D27+8000)/1000,VLOOKUP(B27,'Daten Tierhaltung'!$B$7:$Q$81,13,FALSE))*E27,IF(OR(A27=6,A27=7,A27=8,A27=9,A27=10,A27=101),(0.25*D27+8000)/1000,VLOOKUP(B27,'Daten Tierhaltung'!$B$7:$Z$110,13,FALSE))*E27*F27/182.5))</f>
        <v>0</v>
      </c>
      <c r="W27" s="20">
        <f t="shared" si="0"/>
        <v>0</v>
      </c>
      <c r="X27" s="394">
        <f t="shared" si="8"/>
        <v>0</v>
      </c>
      <c r="Y27" s="394">
        <f>IF(B27="leer",0,(IF(F27&gt;=182.5,0,IF(I27&gt;=182.5,(365-I27-F27)*IF(OR(A27=6,A27=7,A27=8,A27=9,A27=10,A27=101),((0.1*D27+2400)/1000)/182.5,VLOOKUP(B27,'Daten Tierhaltung'!$B$7:$Q$110,16,FALSE)),(182.5-F27)*IF(OR(A27=6,A27=7,A27=8,A27=9,A27=10,A27=101),((0.1*D27+2400)/1000)/182.5,(VLOOKUP(B27,'Daten Tierhaltung'!$B$7:$Q$110,16,FALSE)))))))</f>
        <v>0</v>
      </c>
      <c r="Z27" s="394">
        <f>IF(B27="leer",0,(IF(F27&gt;=182.5,0,IF(I27&gt;=182.5,(365-I27-F27)*IF(OR(A27=6,A27=7,A27=8,A27=9,A27=10,A27=101),((0.1*D27+2400)/1000)/(182.5*2),VLOOKUP(B27,'Daten Tierhaltung'!$B$7:$Q$110,16,FALSE)/2),(182.5-F27)*IF(OR(A27=6,A27=7,A27=8,A27=9,A27=10,A27=101),((0.1*D27+2400)/1000)/(182.5*2),(VLOOKUP(B27,'Daten Tierhaltung'!$B$7:$Z$110,16,FALSE)/2))))))</f>
        <v>0</v>
      </c>
      <c r="AA27" s="394">
        <f t="shared" si="1"/>
        <v>0</v>
      </c>
      <c r="AB27" s="394">
        <f>E27*J27*(F27/365*VLOOKUP(B27,'Daten Tierhaltung'!$B$7:$Z$110,22,FALSE)/100+(G27/365*VLOOKUP(B27,'Daten Tierhaltung'!$B$7:$Z$110,23,FALSE))/100)</f>
        <v>0</v>
      </c>
      <c r="AC27" s="394">
        <f>IF(C27="Abgabe an andere Betriebe",0,IF(C27="in eigene Biogasanlage",(E27*J27*((F27+G27)/365)-AB27)*0.1,IF(C27="auf selbst bewirtschaft. Flächen",(E27*J27*((F27+G27)/365)-AB27)*((F27/365*VLOOKUP(B27,'Daten Tierhaltung'!$B$7:$Z$110,24,FALSE)+(G27+I27)/365*VLOOKUP(B27,'Daten Tierhaltung'!$B$7:$Z$110,25,FALSE))/100),0)))</f>
        <v>0</v>
      </c>
      <c r="AD27" s="394">
        <f t="shared" si="2"/>
        <v>0</v>
      </c>
      <c r="AE27" s="20">
        <f t="shared" si="3"/>
        <v>0</v>
      </c>
      <c r="AF27" s="20">
        <f t="shared" si="4"/>
        <v>0</v>
      </c>
      <c r="AG27" s="20">
        <f t="shared" si="5"/>
        <v>0</v>
      </c>
    </row>
    <row r="28" spans="1:33" s="363" customFormat="1">
      <c r="A28" s="1056">
        <f>VLOOKUP(B28,'Daten Tierhaltung'!$B$7:$Z$108,2,FALSE)</f>
        <v>0</v>
      </c>
      <c r="B28" s="820" t="s">
        <v>163</v>
      </c>
      <c r="C28" s="820" t="s">
        <v>223</v>
      </c>
      <c r="D28" s="821">
        <v>0</v>
      </c>
      <c r="E28" s="821">
        <v>0</v>
      </c>
      <c r="F28" s="757">
        <f t="shared" si="6"/>
        <v>365</v>
      </c>
      <c r="G28" s="821">
        <v>0</v>
      </c>
      <c r="H28" s="820" t="s">
        <v>106</v>
      </c>
      <c r="I28" s="821">
        <v>0</v>
      </c>
      <c r="J28" s="758">
        <f>IF(A28=6,IF(D28&lt;=8000,0.0075*D28+69,0.007*D28+73),IF(A28=7,IF(D28&lt;=8000,0.0075*D28+64,0.0085*D28+56),IF(A28=101,IF(D28&lt;=8000,0.0073*D28+51,0.0085*D28+32),IF(A28=8,IF(D28&lt;=8000,0.007*D28+61,0.009*D28+44.667),IF(A28=9,IF(D28&lt;=8000,0.0075*D28+47,0.009*D28+23),IF(A28=10,IF(D28&lt;=8000,0.0075*D28+45,0.0093*D28+27),IF(A28=11,IF(D28&lt;=7000,0.0075*D28+38.5,0.01*D28+21),IF(A28=51,0.0058*D28+7.0627,IF(A28=52,0.0055*D28+6.8356,IF(A28=53,0.0052*D28+6.0136,VLOOKUP(B28,'Daten Tierhaltung'!$B$7:$J$110,4,FALSE)))))))))))</f>
        <v>0</v>
      </c>
      <c r="K28" s="758">
        <f>IF(A28=6,IF(D28&lt;=8000,0.0035*D28+15,0.002*D28+27),IF(A28=7,IF(D28&lt;=8000,0.003*D28+19,0.0025*D28+23),IF(A28=101,IF(D28&lt;=8000,0.0015*D28+24,0.0015*D28+26),IF(A28=8,IF(D28&lt;=8000,0.0025*D28+22,0.0025*D28+22),IF(A28=9,IF(D28&lt;=8000,0.0015*D28+23,0.0015*D28+24),IF(A28=10,IF(D28&lt;=8000,0.001*D28+27,0.001*D28+31.5),IF(A28=11,IF(D28&lt;=7000,0.002*D28+2.2,0.001*D28+7.5),IF(A28=51,0.0009*D28+4.1288,IF(A28=52,0.0014*D28+3.0932,IF(A28=53,0.0006*D28+3.3542,VLOOKUP(B28,'Daten Tierhaltung'!$B$7:$J$110,5,FALSE)))))))))))</f>
        <v>0</v>
      </c>
      <c r="L28" s="758">
        <f>IF(A28=6,IF(D28&lt;=8000,0.004*D28+110,0.004*D28+110),IF(A28=7,IF(D28&lt;=8000,0.0025*D28+114,0.0045*D28+98),IF(A28=101,IF(D28&lt;=8000,0.0025*D28+98,0.0045*D28+96),IF(A28=8,IF(D28&lt;=8000,0.007*D28+67,0.004*D28+91),IF(A28=9,IF(D28&lt;=8000,0.006*D28+68,0.0045*D28+80),IF(A28=10,IF(D28&lt;=8000,0.006*D28+58,0.0045*D28+80),IF(A28=11,IF(D28&lt;=7000,0.006*D28+54,0.006*D28+54),IF(A28=51,0.0023*D28+3.9271,IF(A28=52,0.0028*D28+3.3915,IF(A28=53,0.0024*D28+3.522,VLOOKUP(B28,'Daten Tierhaltung'!$B$7:$J$110,6,FALSE)))))))))))</f>
        <v>0</v>
      </c>
      <c r="M28" s="758">
        <f t="shared" si="7"/>
        <v>0</v>
      </c>
      <c r="N28" s="758" t="str">
        <f>IF(C28="Abgabe an andere Betriebe",E28*J28*(($F28/365*VLOOKUP(B28,'Daten Tierhaltung'!$B$7:$S$110,17,FALSE))+(($G28/365*VLOOKUP(B28,'Daten Tierhaltung'!$B$7:$S$110,18,FALSE)))),"0")</f>
        <v>0</v>
      </c>
      <c r="O28" s="758">
        <f>IF(C28="auf selbst bewirtschaft. Flächen",E28*J28*(($F28/365*VLOOKUP(B28,'Daten Tierhaltung'!$B$7:$S$110,17,FALSE))+(($G28/365*VLOOKUP(B28,'Daten Tierhaltung'!$B$7:$S$110,18,FALSE)))),"0")</f>
        <v>0</v>
      </c>
      <c r="P28" s="753">
        <f>E28*I28/365*VLOOKUP(B28,'Daten Tierhaltung'!$B$7:$V$110,18,FALSE)*J28</f>
        <v>0</v>
      </c>
      <c r="Q28" s="753" t="str">
        <f>IF(C28="in eigene Biogasanlage",E28*J28*((0.95*F28/365*VLOOKUP(B28,'Daten Tierhaltung'!$B$7:$V$110,17,FALSE))+((0.95*G28/365*VLOOKUP(B28,'Daten Tierhaltung'!$B$7:$V$110,18,FALSE)))),"0")</f>
        <v>0</v>
      </c>
      <c r="R28" s="20">
        <f>E28*IF(A28=6,IF(D28&lt;=8000,0.0015*D28+99,0.001*D28+103),IF(A28=7,IF(D28&lt;=8000,0.0005*D28+95,0.001*D28+91),IF(A28=101,IF(D28&lt;=8000,0.005*D28+56,0.005*D28+56),IF(A28=8,IF(D28&lt;=8000,0.0035*D28+65,0.002*D28+77),IF(A28=9,IF(D28&lt;=8000,0.0035*D28+51,0.003*D28+59),IF(A28=10,IF(D28&lt;=8000,0.0035*D28+50.5,0.0035*D28+56),IF(A28=11,IF(D28&lt;=7000,0.0035*D28+50,0.0025*D28+57.5),VLOOKUP(B28,'Daten Tierhaltung'!$B$7:$J$110,7,FALSE))))))))</f>
        <v>0</v>
      </c>
      <c r="S28" s="20">
        <f>E28*IF(A28=6,IF(D28&lt;=8000,0.0005*D28+30,0.001*D28+26),IF(A28=7,IF(D28&lt;=8000,0.0005*D28+28,0.0005*D28+28),IF(A28=101,IF(D28&lt;=8000,0.0015*D28+18.5,0.0015*D28+19.5),IF(A28=8,IF(D28&lt;=8000,0.0015*D28+19,0.0008*D28+25),IF(A28=9,IF(D28&lt;=8000,0.0015*D28+17,0.0015*D28+17.5),IF(A28=10,IF(D28&lt;=8000,0.001*D28+18.3,0.001*D28+20.4),IF(A28=11,IF(D28&lt;=7000,0.0013*D28+15,0.0013*D28+15.75),VLOOKUP(B28,'Daten Tierhaltung'!$B$7:$J$110,8,FALSE))))))))</f>
        <v>0</v>
      </c>
      <c r="T28" s="20">
        <f>E28*IF(A28=6,IF(D28&lt;=8000,0.002*D28+115,0.0015*D28+119),IF(A28=7,IF(D28&lt;=8000,0.0005*D28+118,0.001*D28+114),IF(A28=101,IF(D28&lt;=8000,0.0005*D28+76,0.001*D28+80),IF(A28=8,IF(D28&lt;=8000,0.004*D28+75,0.003*D28+83),IF(A28=9,IF(D28&lt;=8000,0.004*D28+69,0.0028*D28+79),IF(A28=10,IF(D28&lt;=8000,0.004*D28+60,0.0028*D28+75),IF(A28=11,IF(D28&lt;=7000,0.0045*D28+55,0.0025*D28+69.5),VLOOKUP(B28,'Daten Tierhaltung'!$B$7:$J$110,9,FALSE))))))))</f>
        <v>0</v>
      </c>
      <c r="U28" s="20">
        <f>IF(B28="leer",0,IF(G28&gt;60.8333,(IF(OR(A28=6,A28=7,A28=8,A28=9, A28=10, A28=101),IF(D28&lt;8000,(0.15*D28+6300)/1000,(0.25*D28+5500)/1000),IF(A28=11,(0.25*D28+5650)/1000,VLOOKUP(B28,'Daten Tierhaltung'!$B$7:$Q$110,11,FALSE))))*1/3*Tierhaltung!E28,IF(OR(A28=6,A28=7,A28=8,A28=9, A28=10,A28=101),(0.15*D28+6300)/1000,IF(A28=11,(0.25*D28+5650)/1000,VLOOKUP(B28,'Daten Tierhaltung'!$B$7:$Z$110,11,FALSE)))*G28*E28/182.5))</f>
        <v>0</v>
      </c>
      <c r="V28" s="20">
        <f>IF(B28="leer",0,IF(F28&gt;182.5,IF(OR(A28=6,A28=7,A28=8,A28=9,A28=10,A28=101),(0.25*D28+8000)/1000,VLOOKUP(B28,'Daten Tierhaltung'!$B$7:$Q$81,13,FALSE))*E28,IF(OR(A28=6,A28=7,A28=8,A28=9,A28=10,A28=101),(0.25*D28+8000)/1000,VLOOKUP(B28,'Daten Tierhaltung'!$B$7:$Z$110,13,FALSE))*E28*F28/182.5))</f>
        <v>0</v>
      </c>
      <c r="W28" s="20">
        <f t="shared" si="0"/>
        <v>0</v>
      </c>
      <c r="X28" s="394">
        <f t="shared" si="8"/>
        <v>0</v>
      </c>
      <c r="Y28" s="394">
        <f>IF(B28="leer",0,(IF(F28&gt;=182.5,0,IF(I28&gt;=182.5,(365-I28-F28)*IF(OR(A28=6,A28=7,A28=8,A28=9,A28=10,A28=101),((0.1*D28+2400)/1000)/182.5,VLOOKUP(B28,'Daten Tierhaltung'!$B$7:$Q$110,16,FALSE)),(182.5-F28)*IF(OR(A28=6,A28=7,A28=8,A28=9,A28=10,A28=101),((0.1*D28+2400)/1000)/182.5,(VLOOKUP(B28,'Daten Tierhaltung'!$B$7:$Q$110,16,FALSE)))))))</f>
        <v>0</v>
      </c>
      <c r="Z28" s="394">
        <f>IF(B28="leer",0,(IF(F28&gt;=182.5,0,IF(I28&gt;=182.5,(365-I28-F28)*IF(OR(A28=6,A28=7,A28=8,A28=9,A28=10,A28=101),((0.1*D28+2400)/1000)/(182.5*2),VLOOKUP(B28,'Daten Tierhaltung'!$B$7:$Q$110,16,FALSE)/2),(182.5-F28)*IF(OR(A28=6,A28=7,A28=8,A28=9,A28=10,A28=101),((0.1*D28+2400)/1000)/(182.5*2),(VLOOKUP(B28,'Daten Tierhaltung'!$B$7:$Z$110,16,FALSE)/2))))))</f>
        <v>0</v>
      </c>
      <c r="AA28" s="394">
        <f t="shared" si="1"/>
        <v>0</v>
      </c>
      <c r="AB28" s="394">
        <f>E28*J28*(F28/365*VLOOKUP(B28,'Daten Tierhaltung'!$B$7:$Z$110,22,FALSE)/100+(G28/365*VLOOKUP(B28,'Daten Tierhaltung'!$B$7:$Z$110,23,FALSE))/100)</f>
        <v>0</v>
      </c>
      <c r="AC28" s="394">
        <f>IF(C28="Abgabe an andere Betriebe",0,IF(C28="in eigene Biogasanlage",(E28*J28*((F28+G28)/365)-AB28)*0.1,IF(C28="auf selbst bewirtschaft. Flächen",(E28*J28*((F28+G28)/365)-AB28)*((F28/365*VLOOKUP(B28,'Daten Tierhaltung'!$B$7:$Z$110,24,FALSE)+(G28+I28)/365*VLOOKUP(B28,'Daten Tierhaltung'!$B$7:$Z$110,25,FALSE))/100),0)))</f>
        <v>0</v>
      </c>
      <c r="AD28" s="394">
        <f t="shared" si="2"/>
        <v>0</v>
      </c>
      <c r="AE28" s="20">
        <f t="shared" si="3"/>
        <v>0</v>
      </c>
      <c r="AF28" s="20">
        <f t="shared" si="4"/>
        <v>0</v>
      </c>
      <c r="AG28" s="20">
        <f t="shared" si="5"/>
        <v>0</v>
      </c>
    </row>
    <row r="29" spans="1:33" s="363" customFormat="1">
      <c r="A29" s="1056">
        <f>VLOOKUP(B29,'Daten Tierhaltung'!$B$7:$Z$108,2,FALSE)</f>
        <v>0</v>
      </c>
      <c r="B29" s="820" t="s">
        <v>163</v>
      </c>
      <c r="C29" s="820" t="s">
        <v>223</v>
      </c>
      <c r="D29" s="821">
        <v>0</v>
      </c>
      <c r="E29" s="821">
        <v>0</v>
      </c>
      <c r="F29" s="757">
        <f t="shared" si="6"/>
        <v>365</v>
      </c>
      <c r="G29" s="821">
        <v>0</v>
      </c>
      <c r="H29" s="820" t="s">
        <v>106</v>
      </c>
      <c r="I29" s="821">
        <v>0</v>
      </c>
      <c r="J29" s="758">
        <f>IF(A29=6,IF(D29&lt;=8000,0.0075*D29+69,0.007*D29+73),IF(A29=7,IF(D29&lt;=8000,0.0075*D29+64,0.0085*D29+56),IF(A29=101,IF(D29&lt;=8000,0.0073*D29+51,0.0085*D29+32),IF(A29=8,IF(D29&lt;=8000,0.007*D29+61,0.009*D29+44.667),IF(A29=9,IF(D29&lt;=8000,0.0075*D29+47,0.009*D29+23),IF(A29=10,IF(D29&lt;=8000,0.0075*D29+45,0.0093*D29+27),IF(A29=11,IF(D29&lt;=7000,0.0075*D29+38.5,0.01*D29+21),IF(A29=51,0.0058*D29+7.0627,IF(A29=52,0.0055*D29+6.8356,IF(A29=53,0.0052*D29+6.0136,VLOOKUP(B29,'Daten Tierhaltung'!$B$7:$J$110,4,FALSE)))))))))))</f>
        <v>0</v>
      </c>
      <c r="K29" s="758">
        <f>IF(A29=6,IF(D29&lt;=8000,0.0035*D29+15,0.002*D29+27),IF(A29=7,IF(D29&lt;=8000,0.003*D29+19,0.0025*D29+23),IF(A29=101,IF(D29&lt;=8000,0.0015*D29+24,0.0015*D29+26),IF(A29=8,IF(D29&lt;=8000,0.0025*D29+22,0.0025*D29+22),IF(A29=9,IF(D29&lt;=8000,0.0015*D29+23,0.0015*D29+24),IF(A29=10,IF(D29&lt;=8000,0.001*D29+27,0.001*D29+31.5),IF(A29=11,IF(D29&lt;=7000,0.002*D29+2.2,0.001*D29+7.5),IF(A29=51,0.0009*D29+4.1288,IF(A29=52,0.0014*D29+3.0932,IF(A29=53,0.0006*D29+3.3542,VLOOKUP(B29,'Daten Tierhaltung'!$B$7:$J$110,5,FALSE)))))))))))</f>
        <v>0</v>
      </c>
      <c r="L29" s="758">
        <f>IF(A29=6,IF(D29&lt;=8000,0.004*D29+110,0.004*D29+110),IF(A29=7,IF(D29&lt;=8000,0.0025*D29+114,0.0045*D29+98),IF(A29=101,IF(D29&lt;=8000,0.0025*D29+98,0.0045*D29+96),IF(A29=8,IF(D29&lt;=8000,0.007*D29+67,0.004*D29+91),IF(A29=9,IF(D29&lt;=8000,0.006*D29+68,0.0045*D29+80),IF(A29=10,IF(D29&lt;=8000,0.006*D29+58,0.0045*D29+80),IF(A29=11,IF(D29&lt;=7000,0.006*D29+54,0.006*D29+54),IF(A29=51,0.0023*D29+3.9271,IF(A29=52,0.0028*D29+3.3915,IF(A29=53,0.0024*D29+3.522,VLOOKUP(B29,'Daten Tierhaltung'!$B$7:$J$110,6,FALSE)))))))))))</f>
        <v>0</v>
      </c>
      <c r="M29" s="758">
        <f t="shared" si="7"/>
        <v>0</v>
      </c>
      <c r="N29" s="758" t="str">
        <f>IF(C29="Abgabe an andere Betriebe",E29*J29*(($F29/365*VLOOKUP(B29,'Daten Tierhaltung'!$B$7:$S$110,17,FALSE))+(($G29/365*VLOOKUP(B29,'Daten Tierhaltung'!$B$7:$S$110,18,FALSE)))),"0")</f>
        <v>0</v>
      </c>
      <c r="O29" s="758">
        <f>IF(C29="auf selbst bewirtschaft. Flächen",E29*J29*(($F29/365*VLOOKUP(B29,'Daten Tierhaltung'!$B$7:$S$110,17,FALSE))+(($G29/365*VLOOKUP(B29,'Daten Tierhaltung'!$B$7:$S$110,18,FALSE)))),"0")</f>
        <v>0</v>
      </c>
      <c r="P29" s="753">
        <f>E29*I29/365*VLOOKUP(B29,'Daten Tierhaltung'!$B$7:$V$110,18,FALSE)*J29</f>
        <v>0</v>
      </c>
      <c r="Q29" s="753" t="str">
        <f>IF(C29="in eigene Biogasanlage",E29*J29*((0.95*F29/365*VLOOKUP(B29,'Daten Tierhaltung'!$B$7:$V$110,17,FALSE))+((0.95*G29/365*VLOOKUP(B29,'Daten Tierhaltung'!$B$7:$V$110,18,FALSE)))),"0")</f>
        <v>0</v>
      </c>
      <c r="R29" s="20">
        <f>E29*IF(A29=6,IF(D29&lt;=8000,0.0015*D29+99,0.001*D29+103),IF(A29=7,IF(D29&lt;=8000,0.0005*D29+95,0.001*D29+91),IF(A29=101,IF(D29&lt;=8000,0.005*D29+56,0.005*D29+56),IF(A29=8,IF(D29&lt;=8000,0.0035*D29+65,0.002*D29+77),IF(A29=9,IF(D29&lt;=8000,0.0035*D29+51,0.003*D29+59),IF(A29=10,IF(D29&lt;=8000,0.0035*D29+50.5,0.0035*D29+56),IF(A29=11,IF(D29&lt;=7000,0.0035*D29+50,0.0025*D29+57.5),VLOOKUP(B29,'Daten Tierhaltung'!$B$7:$J$110,7,FALSE))))))))</f>
        <v>0</v>
      </c>
      <c r="S29" s="20">
        <f>E29*IF(A29=6,IF(D29&lt;=8000,0.0005*D29+30,0.001*D29+26),IF(A29=7,IF(D29&lt;=8000,0.0005*D29+28,0.0005*D29+28),IF(A29=101,IF(D29&lt;=8000,0.0015*D29+18.5,0.0015*D29+19.5),IF(A29=8,IF(D29&lt;=8000,0.0015*D29+19,0.0008*D29+25),IF(A29=9,IF(D29&lt;=8000,0.0015*D29+17,0.0015*D29+17.5),IF(A29=10,IF(D29&lt;=8000,0.001*D29+18.3,0.001*D29+20.4),IF(A29=11,IF(D29&lt;=7000,0.0013*D29+15,0.0013*D29+15.75),VLOOKUP(B29,'Daten Tierhaltung'!$B$7:$J$110,8,FALSE))))))))</f>
        <v>0</v>
      </c>
      <c r="T29" s="20">
        <f>E29*IF(A29=6,IF(D29&lt;=8000,0.002*D29+115,0.0015*D29+119),IF(A29=7,IF(D29&lt;=8000,0.0005*D29+118,0.001*D29+114),IF(A29=101,IF(D29&lt;=8000,0.0005*D29+76,0.001*D29+80),IF(A29=8,IF(D29&lt;=8000,0.004*D29+75,0.003*D29+83),IF(A29=9,IF(D29&lt;=8000,0.004*D29+69,0.0028*D29+79),IF(A29=10,IF(D29&lt;=8000,0.004*D29+60,0.0028*D29+75),IF(A29=11,IF(D29&lt;=7000,0.0045*D29+55,0.0025*D29+69.5),VLOOKUP(B29,'Daten Tierhaltung'!$B$7:$J$110,9,FALSE))))))))</f>
        <v>0</v>
      </c>
      <c r="U29" s="20">
        <f>IF(B29="leer",0,IF(G29&gt;60.8333,(IF(OR(A29=6,A29=7,A29=8,A29=9, A29=10, A29=101),IF(D29&lt;8000,(0.15*D29+6300)/1000,(0.25*D29+5500)/1000),IF(A29=11,(0.25*D29+5650)/1000,VLOOKUP(B29,'Daten Tierhaltung'!$B$7:$Q$110,11,FALSE))))*1/3*Tierhaltung!E29,IF(OR(A29=6,A29=7,A29=8,A29=9, A29=10,A29=101),(0.15*D29+6300)/1000,IF(A29=11,(0.25*D29+5650)/1000,VLOOKUP(B29,'Daten Tierhaltung'!$B$7:$Z$110,11,FALSE)))*G29*E29/182.5))</f>
        <v>0</v>
      </c>
      <c r="V29" s="20">
        <f>IF(B29="leer",0,IF(F29&gt;182.5,IF(OR(A29=6,A29=7,A29=8,A29=9,A29=10,A29=101),(0.25*D29+8000)/1000,VLOOKUP(B29,'Daten Tierhaltung'!$B$7:$Q$81,13,FALSE))*E29,IF(OR(A29=6,A29=7,A29=8,A29=9,A29=10,A29=101),(0.25*D29+8000)/1000,VLOOKUP(B29,'Daten Tierhaltung'!$B$7:$Z$110,13,FALSE))*E29*F29/182.5))</f>
        <v>0</v>
      </c>
      <c r="W29" s="20">
        <f t="shared" si="0"/>
        <v>0</v>
      </c>
      <c r="X29" s="394">
        <f t="shared" si="8"/>
        <v>0</v>
      </c>
      <c r="Y29" s="394">
        <f>IF(B29="leer",0,(IF(F29&gt;=182.5,0,IF(I29&gt;=182.5,(365-I29-F29)*IF(OR(A29=6,A29=7,A29=8,A29=9,A29=10,A29=101),((0.1*D29+2400)/1000)/182.5,VLOOKUP(B29,'Daten Tierhaltung'!$B$7:$Q$110,16,FALSE)),(182.5-F29)*IF(OR(A29=6,A29=7,A29=8,A29=9,A29=10,A29=101),((0.1*D29+2400)/1000)/182.5,(VLOOKUP(B29,'Daten Tierhaltung'!$B$7:$Q$110,16,FALSE)))))))</f>
        <v>0</v>
      </c>
      <c r="Z29" s="394">
        <f>IF(B29="leer",0,(IF(F29&gt;=182.5,0,IF(I29&gt;=182.5,(365-I29-F29)*IF(OR(A29=6,A29=7,A29=8,A29=9,A29=10,A29=101),((0.1*D29+2400)/1000)/(182.5*2),VLOOKUP(B29,'Daten Tierhaltung'!$B$7:$Q$110,16,FALSE)/2),(182.5-F29)*IF(OR(A29=6,A29=7,A29=8,A29=9,A29=10,A29=101),((0.1*D29+2400)/1000)/(182.5*2),(VLOOKUP(B29,'Daten Tierhaltung'!$B$7:$Z$110,16,FALSE)/2))))))</f>
        <v>0</v>
      </c>
      <c r="AA29" s="394">
        <f t="shared" si="1"/>
        <v>0</v>
      </c>
      <c r="AB29" s="394">
        <f>E29*J29*(F29/365*VLOOKUP(B29,'Daten Tierhaltung'!$B$7:$Z$110,22,FALSE)/100+(G29/365*VLOOKUP(B29,'Daten Tierhaltung'!$B$7:$Z$110,23,FALSE))/100)</f>
        <v>0</v>
      </c>
      <c r="AC29" s="394">
        <f>IF(C29="Abgabe an andere Betriebe",0,IF(C29="in eigene Biogasanlage",(E29*J29*((F29+G29)/365)-AB29)*0.1,IF(C29="auf selbst bewirtschaft. Flächen",(E29*J29*((F29+G29)/365)-AB29)*((F29/365*VLOOKUP(B29,'Daten Tierhaltung'!$B$7:$Z$110,24,FALSE)+(G29+I29)/365*VLOOKUP(B29,'Daten Tierhaltung'!$B$7:$Z$110,25,FALSE))/100),0)))</f>
        <v>0</v>
      </c>
      <c r="AD29" s="394">
        <f t="shared" si="2"/>
        <v>0</v>
      </c>
      <c r="AE29" s="20">
        <f t="shared" si="3"/>
        <v>0</v>
      </c>
      <c r="AF29" s="20">
        <f t="shared" si="4"/>
        <v>0</v>
      </c>
      <c r="AG29" s="20">
        <f t="shared" si="5"/>
        <v>0</v>
      </c>
    </row>
    <row r="30" spans="1:33" s="363" customFormat="1">
      <c r="A30" s="1056">
        <f>VLOOKUP(B30,'Daten Tierhaltung'!$B$7:$Z$108,2,FALSE)</f>
        <v>0</v>
      </c>
      <c r="B30" s="820" t="s">
        <v>163</v>
      </c>
      <c r="C30" s="820" t="s">
        <v>223</v>
      </c>
      <c r="D30" s="821">
        <v>0</v>
      </c>
      <c r="E30" s="821">
        <v>0</v>
      </c>
      <c r="F30" s="757">
        <f t="shared" si="6"/>
        <v>365</v>
      </c>
      <c r="G30" s="821">
        <v>0</v>
      </c>
      <c r="H30" s="820" t="s">
        <v>106</v>
      </c>
      <c r="I30" s="821">
        <v>0</v>
      </c>
      <c r="J30" s="758">
        <f>IF(A30=6,IF(D30&lt;=8000,0.0075*D30+69,0.007*D30+73),IF(A30=7,IF(D30&lt;=8000,0.0075*D30+64,0.0085*D30+56),IF(A30=101,IF(D30&lt;=8000,0.0073*D30+51,0.0085*D30+32),IF(A30=8,IF(D30&lt;=8000,0.007*D30+61,0.009*D30+44.667),IF(A30=9,IF(D30&lt;=8000,0.0075*D30+47,0.009*D30+23),IF(A30=10,IF(D30&lt;=8000,0.0075*D30+45,0.0093*D30+27),IF(A30=11,IF(D30&lt;=7000,0.0075*D30+38.5,0.01*D30+21),IF(A30=51,0.0058*D30+7.0627,IF(A30=52,0.0055*D30+6.8356,IF(A30=53,0.0052*D30+6.0136,VLOOKUP(B30,'Daten Tierhaltung'!$B$7:$J$110,4,FALSE)))))))))))</f>
        <v>0</v>
      </c>
      <c r="K30" s="758">
        <f>IF(A30=6,IF(D30&lt;=8000,0.0035*D30+15,0.002*D30+27),IF(A30=7,IF(D30&lt;=8000,0.003*D30+19,0.0025*D30+23),IF(A30=101,IF(D30&lt;=8000,0.0015*D30+24,0.0015*D30+26),IF(A30=8,IF(D30&lt;=8000,0.0025*D30+22,0.0025*D30+22),IF(A30=9,IF(D30&lt;=8000,0.0015*D30+23,0.0015*D30+24),IF(A30=10,IF(D30&lt;=8000,0.001*D30+27,0.001*D30+31.5),IF(A30=11,IF(D30&lt;=7000,0.002*D30+2.2,0.001*D30+7.5),IF(A30=51,0.0009*D30+4.1288,IF(A30=52,0.0014*D30+3.0932,IF(A30=53,0.0006*D30+3.3542,VLOOKUP(B30,'Daten Tierhaltung'!$B$7:$J$110,5,FALSE)))))))))))</f>
        <v>0</v>
      </c>
      <c r="L30" s="758">
        <f>IF(A30=6,IF(D30&lt;=8000,0.004*D30+110,0.004*D30+110),IF(A30=7,IF(D30&lt;=8000,0.0025*D30+114,0.0045*D30+98),IF(A30=101,IF(D30&lt;=8000,0.0025*D30+98,0.0045*D30+96),IF(A30=8,IF(D30&lt;=8000,0.007*D30+67,0.004*D30+91),IF(A30=9,IF(D30&lt;=8000,0.006*D30+68,0.0045*D30+80),IF(A30=10,IF(D30&lt;=8000,0.006*D30+58,0.0045*D30+80),IF(A30=11,IF(D30&lt;=7000,0.006*D30+54,0.006*D30+54),IF(A30=51,0.0023*D30+3.9271,IF(A30=52,0.0028*D30+3.3915,IF(A30=53,0.0024*D30+3.522,VLOOKUP(B30,'Daten Tierhaltung'!$B$7:$J$110,6,FALSE)))))))))))</f>
        <v>0</v>
      </c>
      <c r="M30" s="758">
        <f t="shared" si="7"/>
        <v>0</v>
      </c>
      <c r="N30" s="758" t="str">
        <f>IF(C30="Abgabe an andere Betriebe",E30*J30*(($F30/365*VLOOKUP(B30,'Daten Tierhaltung'!$B$7:$S$110,17,FALSE))+(($G30/365*VLOOKUP(B30,'Daten Tierhaltung'!$B$7:$S$110,18,FALSE)))),"0")</f>
        <v>0</v>
      </c>
      <c r="O30" s="758">
        <f>IF(C30="auf selbst bewirtschaft. Flächen",E30*J30*(($F30/365*VLOOKUP(B30,'Daten Tierhaltung'!$B$7:$S$110,17,FALSE))+(($G30/365*VLOOKUP(B30,'Daten Tierhaltung'!$B$7:$S$110,18,FALSE)))),"0")</f>
        <v>0</v>
      </c>
      <c r="P30" s="753">
        <f>E30*I30/365*VLOOKUP(B30,'Daten Tierhaltung'!$B$7:$V$110,18,FALSE)*J30</f>
        <v>0</v>
      </c>
      <c r="Q30" s="753" t="str">
        <f>IF(C30="in eigene Biogasanlage",E30*J30*((0.95*F30/365*VLOOKUP(B30,'Daten Tierhaltung'!$B$7:$V$110,17,FALSE))+((0.95*G30/365*VLOOKUP(B30,'Daten Tierhaltung'!$B$7:$V$110,18,FALSE)))),"0")</f>
        <v>0</v>
      </c>
      <c r="R30" s="20">
        <f>E30*IF(A30=6,IF(D30&lt;=8000,0.0015*D30+99,0.001*D30+103),IF(A30=7,IF(D30&lt;=8000,0.0005*D30+95,0.001*D30+91),IF(A30=101,IF(D30&lt;=8000,0.005*D30+56,0.005*D30+56),IF(A30=8,IF(D30&lt;=8000,0.0035*D30+65,0.002*D30+77),IF(A30=9,IF(D30&lt;=8000,0.0035*D30+51,0.003*D30+59),IF(A30=10,IF(D30&lt;=8000,0.0035*D30+50.5,0.0035*D30+56),IF(A30=11,IF(D30&lt;=7000,0.0035*D30+50,0.0025*D30+57.5),VLOOKUP(B30,'Daten Tierhaltung'!$B$7:$J$110,7,FALSE))))))))</f>
        <v>0</v>
      </c>
      <c r="S30" s="20">
        <f>E30*IF(A30=6,IF(D30&lt;=8000,0.0005*D30+30,0.001*D30+26),IF(A30=7,IF(D30&lt;=8000,0.0005*D30+28,0.0005*D30+28),IF(A30=101,IF(D30&lt;=8000,0.0015*D30+18.5,0.0015*D30+19.5),IF(A30=8,IF(D30&lt;=8000,0.0015*D30+19,0.0008*D30+25),IF(A30=9,IF(D30&lt;=8000,0.0015*D30+17,0.0015*D30+17.5),IF(A30=10,IF(D30&lt;=8000,0.001*D30+18.3,0.001*D30+20.4),IF(A30=11,IF(D30&lt;=7000,0.0013*D30+15,0.0013*D30+15.75),VLOOKUP(B30,'Daten Tierhaltung'!$B$7:$J$110,8,FALSE))))))))</f>
        <v>0</v>
      </c>
      <c r="T30" s="20">
        <f>E30*IF(A30=6,IF(D30&lt;=8000,0.002*D30+115,0.0015*D30+119),IF(A30=7,IF(D30&lt;=8000,0.0005*D30+118,0.001*D30+114),IF(A30=101,IF(D30&lt;=8000,0.0005*D30+76,0.001*D30+80),IF(A30=8,IF(D30&lt;=8000,0.004*D30+75,0.003*D30+83),IF(A30=9,IF(D30&lt;=8000,0.004*D30+69,0.0028*D30+79),IF(A30=10,IF(D30&lt;=8000,0.004*D30+60,0.0028*D30+75),IF(A30=11,IF(D30&lt;=7000,0.0045*D30+55,0.0025*D30+69.5),VLOOKUP(B30,'Daten Tierhaltung'!$B$7:$J$110,9,FALSE))))))))</f>
        <v>0</v>
      </c>
      <c r="U30" s="20">
        <f>IF(B30="leer",0,IF(G30&gt;60.8333,(IF(OR(A30=6,A30=7,A30=8,A30=9, A30=10, A30=101),IF(D30&lt;8000,(0.15*D30+6300)/1000,(0.25*D30+5500)/1000),IF(A30=11,(0.25*D30+5650)/1000,VLOOKUP(B30,'Daten Tierhaltung'!$B$7:$Q$110,11,FALSE))))*1/3*Tierhaltung!E30,IF(OR(A30=6,A30=7,A30=8,A30=9, A30=10,A30=101),(0.15*D30+6300)/1000,IF(A30=11,(0.25*D30+5650)/1000,VLOOKUP(B30,'Daten Tierhaltung'!$B$7:$Z$110,11,FALSE)))*G30*E30/182.5))</f>
        <v>0</v>
      </c>
      <c r="V30" s="20">
        <f>IF(B30="leer",0,IF(F30&gt;182.5,IF(OR(A30=6,A30=7,A30=8,A30=9,A30=10,A30=101),(0.25*D30+8000)/1000,VLOOKUP(B30,'Daten Tierhaltung'!$B$7:$Q$81,13,FALSE))*E30,IF(OR(A30=6,A30=7,A30=8,A30=9,A30=10,A30=101),(0.25*D30+8000)/1000,VLOOKUP(B30,'Daten Tierhaltung'!$B$7:$Z$110,13,FALSE))*E30*F30/182.5))</f>
        <v>0</v>
      </c>
      <c r="W30" s="20">
        <f t="shared" si="0"/>
        <v>0</v>
      </c>
      <c r="X30" s="394">
        <f t="shared" si="8"/>
        <v>0</v>
      </c>
      <c r="Y30" s="394">
        <f>IF(B30="leer",0,(IF(F30&gt;=182.5,0,IF(I30&gt;=182.5,(365-I30-F30)*IF(OR(A30=6,A30=7,A30=8,A30=9,A30=10,A30=101),((0.1*D30+2400)/1000)/182.5,VLOOKUP(B30,'Daten Tierhaltung'!$B$7:$Q$110,16,FALSE)),(182.5-F30)*IF(OR(A30=6,A30=7,A30=8,A30=9,A30=10,A30=101),((0.1*D30+2400)/1000)/182.5,(VLOOKUP(B30,'Daten Tierhaltung'!$B$7:$Q$110,16,FALSE)))))))</f>
        <v>0</v>
      </c>
      <c r="Z30" s="394">
        <f>IF(B30="leer",0,(IF(F30&gt;=182.5,0,IF(I30&gt;=182.5,(365-I30-F30)*IF(OR(A30=6,A30=7,A30=8,A30=9,A30=10,A30=101),((0.1*D30+2400)/1000)/(182.5*2),VLOOKUP(B30,'Daten Tierhaltung'!$B$7:$Q$110,16,FALSE)/2),(182.5-F30)*IF(OR(A30=6,A30=7,A30=8,A30=9,A30=10,A30=101),((0.1*D30+2400)/1000)/(182.5*2),(VLOOKUP(B30,'Daten Tierhaltung'!$B$7:$Z$110,16,FALSE)/2))))))</f>
        <v>0</v>
      </c>
      <c r="AA30" s="394">
        <f t="shared" si="1"/>
        <v>0</v>
      </c>
      <c r="AB30" s="394">
        <f>E30*J30*(F30/365*VLOOKUP(B30,'Daten Tierhaltung'!$B$7:$Z$110,22,FALSE)/100+(G30/365*VLOOKUP(B30,'Daten Tierhaltung'!$B$7:$Z$110,23,FALSE))/100)</f>
        <v>0</v>
      </c>
      <c r="AC30" s="394">
        <f>IF(C30="Abgabe an andere Betriebe",0,IF(C30="in eigene Biogasanlage",(E30*J30*((F30+G30)/365)-AB30)*0.1,IF(C30="auf selbst bewirtschaft. Flächen",(E30*J30*((F30+G30)/365)-AB30)*((F30/365*VLOOKUP(B30,'Daten Tierhaltung'!$B$7:$Z$110,24,FALSE)+(G30+I30)/365*VLOOKUP(B30,'Daten Tierhaltung'!$B$7:$Z$110,25,FALSE))/100),0)))</f>
        <v>0</v>
      </c>
      <c r="AD30" s="394">
        <f t="shared" si="2"/>
        <v>0</v>
      </c>
      <c r="AE30" s="20">
        <f t="shared" si="3"/>
        <v>0</v>
      </c>
      <c r="AF30" s="20">
        <f t="shared" si="4"/>
        <v>0</v>
      </c>
      <c r="AG30" s="20">
        <f t="shared" si="5"/>
        <v>0</v>
      </c>
    </row>
    <row r="31" spans="1:33" s="363" customFormat="1">
      <c r="A31" s="1056">
        <f>VLOOKUP(B31,'Daten Tierhaltung'!$B$7:$Z$108,2,FALSE)</f>
        <v>0</v>
      </c>
      <c r="B31" s="820" t="s">
        <v>163</v>
      </c>
      <c r="C31" s="820" t="s">
        <v>223</v>
      </c>
      <c r="D31" s="821">
        <v>0</v>
      </c>
      <c r="E31" s="821">
        <v>0</v>
      </c>
      <c r="F31" s="757">
        <f t="shared" si="6"/>
        <v>365</v>
      </c>
      <c r="G31" s="821">
        <v>0</v>
      </c>
      <c r="H31" s="820" t="s">
        <v>106</v>
      </c>
      <c r="I31" s="821">
        <v>0</v>
      </c>
      <c r="J31" s="758">
        <f>IF(A31=6,IF(D31&lt;=8000,0.0075*D31+69,0.007*D31+73),IF(A31=7,IF(D31&lt;=8000,0.0075*D31+64,0.0085*D31+56),IF(A31=101,IF(D31&lt;=8000,0.0073*D31+51,0.0085*D31+32),IF(A31=8,IF(D31&lt;=8000,0.007*D31+61,0.009*D31+44.667),IF(A31=9,IF(D31&lt;=8000,0.0075*D31+47,0.009*D31+23),IF(A31=10,IF(D31&lt;=8000,0.0075*D31+45,0.0093*D31+27),IF(A31=11,IF(D31&lt;=7000,0.0075*D31+38.5,0.01*D31+21),IF(A31=51,0.0058*D31+7.0627,IF(A31=52,0.0055*D31+6.8356,IF(A31=53,0.0052*D31+6.0136,VLOOKUP(B31,'Daten Tierhaltung'!$B$7:$J$110,4,FALSE)))))))))))</f>
        <v>0</v>
      </c>
      <c r="K31" s="758">
        <f>IF(A31=6,IF(D31&lt;=8000,0.0035*D31+15,0.002*D31+27),IF(A31=7,IF(D31&lt;=8000,0.003*D31+19,0.0025*D31+23),IF(A31=101,IF(D31&lt;=8000,0.0015*D31+24,0.0015*D31+26),IF(A31=8,IF(D31&lt;=8000,0.0025*D31+22,0.0025*D31+22),IF(A31=9,IF(D31&lt;=8000,0.0015*D31+23,0.0015*D31+24),IF(A31=10,IF(D31&lt;=8000,0.001*D31+27,0.001*D31+31.5),IF(A31=11,IF(D31&lt;=7000,0.002*D31+2.2,0.001*D31+7.5),IF(A31=51,0.0009*D31+4.1288,IF(A31=52,0.0014*D31+3.0932,IF(A31=53,0.0006*D31+3.3542,VLOOKUP(B31,'Daten Tierhaltung'!$B$7:$J$110,5,FALSE)))))))))))</f>
        <v>0</v>
      </c>
      <c r="L31" s="758">
        <f>IF(A31=6,IF(D31&lt;=8000,0.004*D31+110,0.004*D31+110),IF(A31=7,IF(D31&lt;=8000,0.0025*D31+114,0.0045*D31+98),IF(A31=101,IF(D31&lt;=8000,0.0025*D31+98,0.0045*D31+96),IF(A31=8,IF(D31&lt;=8000,0.007*D31+67,0.004*D31+91),IF(A31=9,IF(D31&lt;=8000,0.006*D31+68,0.0045*D31+80),IF(A31=10,IF(D31&lt;=8000,0.006*D31+58,0.0045*D31+80),IF(A31=11,IF(D31&lt;=7000,0.006*D31+54,0.006*D31+54),IF(A31=51,0.0023*D31+3.9271,IF(A31=52,0.0028*D31+3.3915,IF(A31=53,0.0024*D31+3.522,VLOOKUP(B31,'Daten Tierhaltung'!$B$7:$J$110,6,FALSE)))))))))))</f>
        <v>0</v>
      </c>
      <c r="M31" s="758">
        <f t="shared" si="7"/>
        <v>0</v>
      </c>
      <c r="N31" s="758" t="str">
        <f>IF(C31="Abgabe an andere Betriebe",E31*J31*(($F31/365*VLOOKUP(B31,'Daten Tierhaltung'!$B$7:$S$110,17,FALSE))+(($G31/365*VLOOKUP(B31,'Daten Tierhaltung'!$B$7:$S$110,18,FALSE)))),"0")</f>
        <v>0</v>
      </c>
      <c r="O31" s="758">
        <f>IF(C31="auf selbst bewirtschaft. Flächen",E31*J31*(($F31/365*VLOOKUP(B31,'Daten Tierhaltung'!$B$7:$S$110,17,FALSE))+(($G31/365*VLOOKUP(B31,'Daten Tierhaltung'!$B$7:$S$110,18,FALSE)))),"0")</f>
        <v>0</v>
      </c>
      <c r="P31" s="753">
        <f>E31*I31/365*VLOOKUP(B31,'Daten Tierhaltung'!$B$7:$V$110,18,FALSE)*J31</f>
        <v>0</v>
      </c>
      <c r="Q31" s="753" t="str">
        <f>IF(C31="in eigene Biogasanlage",E31*J31*((0.95*F31/365*VLOOKUP(B31,'Daten Tierhaltung'!$B$7:$V$110,17,FALSE))+((0.95*G31/365*VLOOKUP(B31,'Daten Tierhaltung'!$B$7:$V$110,18,FALSE)))),"0")</f>
        <v>0</v>
      </c>
      <c r="R31" s="20">
        <f>E31*IF(A31=6,IF(D31&lt;=8000,0.0015*D31+99,0.001*D31+103),IF(A31=7,IF(D31&lt;=8000,0.0005*D31+95,0.001*D31+91),IF(A31=101,IF(D31&lt;=8000,0.005*D31+56,0.005*D31+56),IF(A31=8,IF(D31&lt;=8000,0.0035*D31+65,0.002*D31+77),IF(A31=9,IF(D31&lt;=8000,0.0035*D31+51,0.003*D31+59),IF(A31=10,IF(D31&lt;=8000,0.0035*D31+50.5,0.0035*D31+56),IF(A31=11,IF(D31&lt;=7000,0.0035*D31+50,0.0025*D31+57.5),VLOOKUP(B31,'Daten Tierhaltung'!$B$7:$J$110,7,FALSE))))))))</f>
        <v>0</v>
      </c>
      <c r="S31" s="20">
        <f>E31*IF(A31=6,IF(D31&lt;=8000,0.0005*D31+30,0.001*D31+26),IF(A31=7,IF(D31&lt;=8000,0.0005*D31+28,0.0005*D31+28),IF(A31=101,IF(D31&lt;=8000,0.0015*D31+18.5,0.0015*D31+19.5),IF(A31=8,IF(D31&lt;=8000,0.0015*D31+19,0.0008*D31+25),IF(A31=9,IF(D31&lt;=8000,0.0015*D31+17,0.0015*D31+17.5),IF(A31=10,IF(D31&lt;=8000,0.001*D31+18.3,0.001*D31+20.4),IF(A31=11,IF(D31&lt;=7000,0.0013*D31+15,0.0013*D31+15.75),VLOOKUP(B31,'Daten Tierhaltung'!$B$7:$J$110,8,FALSE))))))))</f>
        <v>0</v>
      </c>
      <c r="T31" s="20">
        <f>E31*IF(A31=6,IF(D31&lt;=8000,0.002*D31+115,0.0015*D31+119),IF(A31=7,IF(D31&lt;=8000,0.0005*D31+118,0.001*D31+114),IF(A31=101,IF(D31&lt;=8000,0.0005*D31+76,0.001*D31+80),IF(A31=8,IF(D31&lt;=8000,0.004*D31+75,0.003*D31+83),IF(A31=9,IF(D31&lt;=8000,0.004*D31+69,0.0028*D31+79),IF(A31=10,IF(D31&lt;=8000,0.004*D31+60,0.0028*D31+75),IF(A31=11,IF(D31&lt;=7000,0.0045*D31+55,0.0025*D31+69.5),VLOOKUP(B31,'Daten Tierhaltung'!$B$7:$J$110,9,FALSE))))))))</f>
        <v>0</v>
      </c>
      <c r="U31" s="20">
        <f>IF(B31="leer",0,IF(G31&gt;60.8333,(IF(OR(A31=6,A31=7,A31=8,A31=9, A31=10, A31=101),IF(D31&lt;8000,(0.15*D31+6300)/1000,(0.25*D31+5500)/1000),IF(A31=11,(0.25*D31+5650)/1000,VLOOKUP(B31,'Daten Tierhaltung'!$B$7:$Q$110,11,FALSE))))*1/3*Tierhaltung!E31,IF(OR(A31=6,A31=7,A31=8,A31=9, A31=10,A31=101),(0.15*D31+6300)/1000,IF(A31=11,(0.25*D31+5650)/1000,VLOOKUP(B31,'Daten Tierhaltung'!$B$7:$Z$110,11,FALSE)))*G31*E31/182.5))</f>
        <v>0</v>
      </c>
      <c r="V31" s="20">
        <f>IF(B31="leer",0,IF(F31&gt;182.5,IF(OR(A31=6,A31=7,A31=8,A31=9,A31=10,A31=101),(0.25*D31+8000)/1000,VLOOKUP(B31,'Daten Tierhaltung'!$B$7:$Q$81,13,FALSE))*E31,IF(OR(A31=6,A31=7,A31=8,A31=9,A31=10,A31=101),(0.25*D31+8000)/1000,VLOOKUP(B31,'Daten Tierhaltung'!$B$7:$Z$110,13,FALSE))*E31*F31/182.5))</f>
        <v>0</v>
      </c>
      <c r="W31" s="20">
        <f t="shared" si="0"/>
        <v>0</v>
      </c>
      <c r="X31" s="394">
        <f t="shared" si="8"/>
        <v>0</v>
      </c>
      <c r="Y31" s="394">
        <f>IF(B31="leer",0,(IF(F31&gt;=182.5,0,IF(I31&gt;=182.5,(365-I31-F31)*IF(OR(A31=6,A31=7,A31=8,A31=9,A31=10,A31=101),((0.1*D31+2400)/1000)/182.5,VLOOKUP(B31,'Daten Tierhaltung'!$B$7:$Q$110,16,FALSE)),(182.5-F31)*IF(OR(A31=6,A31=7,A31=8,A31=9,A31=10,A31=101),((0.1*D31+2400)/1000)/182.5,(VLOOKUP(B31,'Daten Tierhaltung'!$B$7:$Q$110,16,FALSE)))))))</f>
        <v>0</v>
      </c>
      <c r="Z31" s="394">
        <f>IF(B31="leer",0,(IF(F31&gt;=182.5,0,IF(I31&gt;=182.5,(365-I31-F31)*IF(OR(A31=6,A31=7,A31=8,A31=9,A31=10,A31=101),((0.1*D31+2400)/1000)/(182.5*2),VLOOKUP(B31,'Daten Tierhaltung'!$B$7:$Q$110,16,FALSE)/2),(182.5-F31)*IF(OR(A31=6,A31=7,A31=8,A31=9,A31=10,A31=101),((0.1*D31+2400)/1000)/(182.5*2),(VLOOKUP(B31,'Daten Tierhaltung'!$B$7:$Z$110,16,FALSE)/2))))))</f>
        <v>0</v>
      </c>
      <c r="AA31" s="394">
        <f t="shared" si="1"/>
        <v>0</v>
      </c>
      <c r="AB31" s="394">
        <f>E31*J31*(F31/365*VLOOKUP(B31,'Daten Tierhaltung'!$B$7:$Z$110,22,FALSE)/100+(G31/365*VLOOKUP(B31,'Daten Tierhaltung'!$B$7:$Z$110,23,FALSE))/100)</f>
        <v>0</v>
      </c>
      <c r="AC31" s="394">
        <f>IF(C31="Abgabe an andere Betriebe",0,IF(C31="in eigene Biogasanlage",(E31*J31*((F31+G31)/365)-AB31)*0.1,IF(C31="auf selbst bewirtschaft. Flächen",(E31*J31*((F31+G31)/365)-AB31)*((F31/365*VLOOKUP(B31,'Daten Tierhaltung'!$B$7:$Z$110,24,FALSE)+(G31+I31)/365*VLOOKUP(B31,'Daten Tierhaltung'!$B$7:$Z$110,25,FALSE))/100),0)))</f>
        <v>0</v>
      </c>
      <c r="AD31" s="394">
        <f t="shared" si="2"/>
        <v>0</v>
      </c>
      <c r="AE31" s="20">
        <f t="shared" si="3"/>
        <v>0</v>
      </c>
      <c r="AF31" s="20">
        <f t="shared" si="4"/>
        <v>0</v>
      </c>
      <c r="AG31" s="20">
        <f t="shared" si="5"/>
        <v>0</v>
      </c>
    </row>
    <row r="32" spans="1:33" s="363" customFormat="1">
      <c r="A32" s="1056">
        <f>VLOOKUP(B32,'Daten Tierhaltung'!$B$7:$Z$108,2,FALSE)</f>
        <v>0</v>
      </c>
      <c r="B32" s="820" t="s">
        <v>163</v>
      </c>
      <c r="C32" s="820" t="s">
        <v>223</v>
      </c>
      <c r="D32" s="821">
        <v>0</v>
      </c>
      <c r="E32" s="821">
        <v>0</v>
      </c>
      <c r="F32" s="757">
        <f t="shared" si="6"/>
        <v>365</v>
      </c>
      <c r="G32" s="821">
        <v>0</v>
      </c>
      <c r="H32" s="820" t="s">
        <v>106</v>
      </c>
      <c r="I32" s="821">
        <v>0</v>
      </c>
      <c r="J32" s="758">
        <f>IF(A32=6,IF(D32&lt;=8000,0.0075*D32+69,0.007*D32+73),IF(A32=7,IF(D32&lt;=8000,0.0075*D32+64,0.0085*D32+56),IF(A32=101,IF(D32&lt;=8000,0.0073*D32+51,0.0085*D32+32),IF(A32=8,IF(D32&lt;=8000,0.007*D32+61,0.009*D32+44.667),IF(A32=9,IF(D32&lt;=8000,0.0075*D32+47,0.009*D32+23),IF(A32=10,IF(D32&lt;=8000,0.0075*D32+45,0.0093*D32+27),IF(A32=11,IF(D32&lt;=7000,0.0075*D32+38.5,0.01*D32+21),IF(A32=51,0.0058*D32+7.0627,IF(A32=52,0.0055*D32+6.8356,IF(A32=53,0.0052*D32+6.0136,VLOOKUP(B32,'Daten Tierhaltung'!$B$7:$J$110,4,FALSE)))))))))))</f>
        <v>0</v>
      </c>
      <c r="K32" s="758">
        <f>IF(A32=6,IF(D32&lt;=8000,0.0035*D32+15,0.002*D32+27),IF(A32=7,IF(D32&lt;=8000,0.003*D32+19,0.0025*D32+23),IF(A32=101,IF(D32&lt;=8000,0.0015*D32+24,0.0015*D32+26),IF(A32=8,IF(D32&lt;=8000,0.0025*D32+22,0.0025*D32+22),IF(A32=9,IF(D32&lt;=8000,0.0015*D32+23,0.0015*D32+24),IF(A32=10,IF(D32&lt;=8000,0.001*D32+27,0.001*D32+31.5),IF(A32=11,IF(D32&lt;=7000,0.002*D32+2.2,0.001*D32+7.5),IF(A32=51,0.0009*D32+4.1288,IF(A32=52,0.0014*D32+3.0932,IF(A32=53,0.0006*D32+3.3542,VLOOKUP(B32,'Daten Tierhaltung'!$B$7:$J$110,5,FALSE)))))))))))</f>
        <v>0</v>
      </c>
      <c r="L32" s="758">
        <f>IF(A32=6,IF(D32&lt;=8000,0.004*D32+110,0.004*D32+110),IF(A32=7,IF(D32&lt;=8000,0.0025*D32+114,0.0045*D32+98),IF(A32=101,IF(D32&lt;=8000,0.0025*D32+98,0.0045*D32+96),IF(A32=8,IF(D32&lt;=8000,0.007*D32+67,0.004*D32+91),IF(A32=9,IF(D32&lt;=8000,0.006*D32+68,0.0045*D32+80),IF(A32=10,IF(D32&lt;=8000,0.006*D32+58,0.0045*D32+80),IF(A32=11,IF(D32&lt;=7000,0.006*D32+54,0.006*D32+54),IF(A32=51,0.0023*D32+3.9271,IF(A32=52,0.0028*D32+3.3915,IF(A32=53,0.0024*D32+3.522,VLOOKUP(B32,'Daten Tierhaltung'!$B$7:$J$110,6,FALSE)))))))))))</f>
        <v>0</v>
      </c>
      <c r="M32" s="758">
        <f t="shared" si="7"/>
        <v>0</v>
      </c>
      <c r="N32" s="758" t="str">
        <f>IF(C32="Abgabe an andere Betriebe",E32*J32*(($F32/365*VLOOKUP(B32,'Daten Tierhaltung'!$B$7:$S$110,17,FALSE))+(($G32/365*VLOOKUP(B32,'Daten Tierhaltung'!$B$7:$S$110,18,FALSE)))),"0")</f>
        <v>0</v>
      </c>
      <c r="O32" s="758">
        <f>IF(C32="auf selbst bewirtschaft. Flächen",E32*J32*(($F32/365*VLOOKUP(B32,'Daten Tierhaltung'!$B$7:$S$110,17,FALSE))+(($G32/365*VLOOKUP(B32,'Daten Tierhaltung'!$B$7:$S$110,18,FALSE)))),"0")</f>
        <v>0</v>
      </c>
      <c r="P32" s="753">
        <f>E32*I32/365*VLOOKUP(B32,'Daten Tierhaltung'!$B$7:$V$110,18,FALSE)*J32</f>
        <v>0</v>
      </c>
      <c r="Q32" s="753" t="str">
        <f>IF(C32="in eigene Biogasanlage",E32*J32*((0.95*F32/365*VLOOKUP(B32,'Daten Tierhaltung'!$B$7:$V$110,17,FALSE))+((0.95*G32/365*VLOOKUP(B32,'Daten Tierhaltung'!$B$7:$V$110,18,FALSE)))),"0")</f>
        <v>0</v>
      </c>
      <c r="R32" s="20">
        <f>E32*IF(A32=6,IF(D32&lt;=8000,0.0015*D32+99,0.001*D32+103),IF(A32=7,IF(D32&lt;=8000,0.0005*D32+95,0.001*D32+91),IF(A32=101,IF(D32&lt;=8000,0.005*D32+56,0.005*D32+56),IF(A32=8,IF(D32&lt;=8000,0.0035*D32+65,0.002*D32+77),IF(A32=9,IF(D32&lt;=8000,0.0035*D32+51,0.003*D32+59),IF(A32=10,IF(D32&lt;=8000,0.0035*D32+50.5,0.0035*D32+56),IF(A32=11,IF(D32&lt;=7000,0.0035*D32+50,0.0025*D32+57.5),VLOOKUP(B32,'Daten Tierhaltung'!$B$7:$J$110,7,FALSE))))))))</f>
        <v>0</v>
      </c>
      <c r="S32" s="20">
        <f>E32*IF(A32=6,IF(D32&lt;=8000,0.0005*D32+30,0.001*D32+26),IF(A32=7,IF(D32&lt;=8000,0.0005*D32+28,0.0005*D32+28),IF(A32=101,IF(D32&lt;=8000,0.0015*D32+18.5,0.0015*D32+19.5),IF(A32=8,IF(D32&lt;=8000,0.0015*D32+19,0.0008*D32+25),IF(A32=9,IF(D32&lt;=8000,0.0015*D32+17,0.0015*D32+17.5),IF(A32=10,IF(D32&lt;=8000,0.001*D32+18.3,0.001*D32+20.4),IF(A32=11,IF(D32&lt;=7000,0.0013*D32+15,0.0013*D32+15.75),VLOOKUP(B32,'Daten Tierhaltung'!$B$7:$J$110,8,FALSE))))))))</f>
        <v>0</v>
      </c>
      <c r="T32" s="20">
        <f>E32*IF(A32=6,IF(D32&lt;=8000,0.002*D32+115,0.0015*D32+119),IF(A32=7,IF(D32&lt;=8000,0.0005*D32+118,0.001*D32+114),IF(A32=101,IF(D32&lt;=8000,0.0005*D32+76,0.001*D32+80),IF(A32=8,IF(D32&lt;=8000,0.004*D32+75,0.003*D32+83),IF(A32=9,IF(D32&lt;=8000,0.004*D32+69,0.0028*D32+79),IF(A32=10,IF(D32&lt;=8000,0.004*D32+60,0.0028*D32+75),IF(A32=11,IF(D32&lt;=7000,0.0045*D32+55,0.0025*D32+69.5),VLOOKUP(B32,'Daten Tierhaltung'!$B$7:$J$110,9,FALSE))))))))</f>
        <v>0</v>
      </c>
      <c r="U32" s="20">
        <f>IF(B32="leer",0,IF(G32&gt;60.8333,(IF(OR(A32=6,A32=7,A32=8,A32=9, A32=10, A32=101),IF(D32&lt;8000,(0.15*D32+6300)/1000,(0.25*D32+5500)/1000),IF(A32=11,(0.25*D32+5650)/1000,VLOOKUP(B32,'Daten Tierhaltung'!$B$7:$Q$110,11,FALSE))))*1/3*Tierhaltung!E32,IF(OR(A32=6,A32=7,A32=8,A32=9, A32=10,A32=101),(0.15*D32+6300)/1000,IF(A32=11,(0.25*D32+5650)/1000,VLOOKUP(B32,'Daten Tierhaltung'!$B$7:$Z$110,11,FALSE)))*G32*E32/182.5))</f>
        <v>0</v>
      </c>
      <c r="V32" s="20">
        <f>IF(B32="leer",0,IF(F32&gt;182.5,IF(OR(A32=6,A32=7,A32=8,A32=9,A32=10,A32=101),(0.25*D32+8000)/1000,VLOOKUP(B32,'Daten Tierhaltung'!$B$7:$Q$81,13,FALSE))*E32,IF(OR(A32=6,A32=7,A32=8,A32=9,A32=10,A32=101),(0.25*D32+8000)/1000,VLOOKUP(B32,'Daten Tierhaltung'!$B$7:$Z$110,13,FALSE))*E32*F32/182.5))</f>
        <v>0</v>
      </c>
      <c r="W32" s="20">
        <f t="shared" si="0"/>
        <v>0</v>
      </c>
      <c r="X32" s="394">
        <f t="shared" si="8"/>
        <v>0</v>
      </c>
      <c r="Y32" s="394">
        <f>IF(B32="leer",0,(IF(F32&gt;=182.5,0,IF(I32&gt;=182.5,(365-I32-F32)*IF(OR(A32=6,A32=7,A32=8,A32=9,A32=10,A32=101),((0.1*D32+2400)/1000)/182.5,VLOOKUP(B32,'Daten Tierhaltung'!$B$7:$Q$110,16,FALSE)),(182.5-F32)*IF(OR(A32=6,A32=7,A32=8,A32=9,A32=10,A32=101),((0.1*D32+2400)/1000)/182.5,(VLOOKUP(B32,'Daten Tierhaltung'!$B$7:$Q$110,16,FALSE)))))))</f>
        <v>0</v>
      </c>
      <c r="Z32" s="394">
        <f>IF(B32="leer",0,(IF(F32&gt;=182.5,0,IF(I32&gt;=182.5,(365-I32-F32)*IF(OR(A32=6,A32=7,A32=8,A32=9,A32=10,A32=101),((0.1*D32+2400)/1000)/(182.5*2),VLOOKUP(B32,'Daten Tierhaltung'!$B$7:$Q$110,16,FALSE)/2),(182.5-F32)*IF(OR(A32=6,A32=7,A32=8,A32=9,A32=10,A32=101),((0.1*D32+2400)/1000)/(182.5*2),(VLOOKUP(B32,'Daten Tierhaltung'!$B$7:$Z$110,16,FALSE)/2))))))</f>
        <v>0</v>
      </c>
      <c r="AA32" s="394">
        <f t="shared" si="1"/>
        <v>0</v>
      </c>
      <c r="AB32" s="394">
        <f>E32*J32*(F32/365*VLOOKUP(B32,'Daten Tierhaltung'!$B$7:$Z$110,22,FALSE)/100+(G32/365*VLOOKUP(B32,'Daten Tierhaltung'!$B$7:$Z$110,23,FALSE))/100)</f>
        <v>0</v>
      </c>
      <c r="AC32" s="394">
        <f>IF(C32="Abgabe an andere Betriebe",0,IF(C32="in eigene Biogasanlage",(E32*J32*((F32+G32)/365)-AB32)*0.1,IF(C32="auf selbst bewirtschaft. Flächen",(E32*J32*((F32+G32)/365)-AB32)*((F32/365*VLOOKUP(B32,'Daten Tierhaltung'!$B$7:$Z$110,24,FALSE)+(G32+I32)/365*VLOOKUP(B32,'Daten Tierhaltung'!$B$7:$Z$110,25,FALSE))/100),0)))</f>
        <v>0</v>
      </c>
      <c r="AD32" s="394">
        <f t="shared" si="2"/>
        <v>0</v>
      </c>
      <c r="AE32" s="20">
        <f t="shared" si="3"/>
        <v>0</v>
      </c>
      <c r="AF32" s="20">
        <f t="shared" si="4"/>
        <v>0</v>
      </c>
      <c r="AG32" s="20">
        <f t="shared" si="5"/>
        <v>0</v>
      </c>
    </row>
    <row r="33" spans="1:33" s="363" customFormat="1">
      <c r="A33" s="1056">
        <f>VLOOKUP(B33,'Daten Tierhaltung'!$B$7:$Z$108,2,FALSE)</f>
        <v>0</v>
      </c>
      <c r="B33" s="820" t="s">
        <v>163</v>
      </c>
      <c r="C33" s="820" t="s">
        <v>223</v>
      </c>
      <c r="D33" s="821">
        <v>0</v>
      </c>
      <c r="E33" s="821">
        <v>0</v>
      </c>
      <c r="F33" s="757">
        <f t="shared" si="6"/>
        <v>365</v>
      </c>
      <c r="G33" s="821">
        <v>0</v>
      </c>
      <c r="H33" s="820" t="s">
        <v>106</v>
      </c>
      <c r="I33" s="821">
        <v>0</v>
      </c>
      <c r="J33" s="758">
        <f>IF(A33=6,IF(D33&lt;=8000,0.0075*D33+69,0.007*D33+73),IF(A33=7,IF(D33&lt;=8000,0.0075*D33+64,0.0085*D33+56),IF(A33=101,IF(D33&lt;=8000,0.0073*D33+51,0.0085*D33+32),IF(A33=8,IF(D33&lt;=8000,0.007*D33+61,0.009*D33+44.667),IF(A33=9,IF(D33&lt;=8000,0.0075*D33+47,0.009*D33+23),IF(A33=10,IF(D33&lt;=8000,0.0075*D33+45,0.0093*D33+27),IF(A33=11,IF(D33&lt;=7000,0.0075*D33+38.5,0.01*D33+21),IF(A33=51,0.0058*D33+7.0627,IF(A33=52,0.0055*D33+6.8356,IF(A33=53,0.0052*D33+6.0136,VLOOKUP(B33,'Daten Tierhaltung'!$B$7:$J$110,4,FALSE)))))))))))</f>
        <v>0</v>
      </c>
      <c r="K33" s="758">
        <f>IF(A33=6,IF(D33&lt;=8000,0.0035*D33+15,0.002*D33+27),IF(A33=7,IF(D33&lt;=8000,0.003*D33+19,0.0025*D33+23),IF(A33=101,IF(D33&lt;=8000,0.0015*D33+24,0.0015*D33+26),IF(A33=8,IF(D33&lt;=8000,0.0025*D33+22,0.0025*D33+22),IF(A33=9,IF(D33&lt;=8000,0.0015*D33+23,0.0015*D33+24),IF(A33=10,IF(D33&lt;=8000,0.001*D33+27,0.001*D33+31.5),IF(A33=11,IF(D33&lt;=7000,0.002*D33+2.2,0.001*D33+7.5),IF(A33=51,0.0009*D33+4.1288,IF(A33=52,0.0014*D33+3.0932,IF(A33=53,0.0006*D33+3.3542,VLOOKUP(B33,'Daten Tierhaltung'!$B$7:$J$110,5,FALSE)))))))))))</f>
        <v>0</v>
      </c>
      <c r="L33" s="758">
        <f>IF(A33=6,IF(D33&lt;=8000,0.004*D33+110,0.004*D33+110),IF(A33=7,IF(D33&lt;=8000,0.0025*D33+114,0.0045*D33+98),IF(A33=101,IF(D33&lt;=8000,0.0025*D33+98,0.0045*D33+96),IF(A33=8,IF(D33&lt;=8000,0.007*D33+67,0.004*D33+91),IF(A33=9,IF(D33&lt;=8000,0.006*D33+68,0.0045*D33+80),IF(A33=10,IF(D33&lt;=8000,0.006*D33+58,0.0045*D33+80),IF(A33=11,IF(D33&lt;=7000,0.006*D33+54,0.006*D33+54),IF(A33=51,0.0023*D33+3.9271,IF(A33=52,0.0028*D33+3.3915,IF(A33=53,0.0024*D33+3.522,VLOOKUP(B33,'Daten Tierhaltung'!$B$7:$J$110,6,FALSE)))))))))))</f>
        <v>0</v>
      </c>
      <c r="M33" s="758">
        <f t="shared" si="7"/>
        <v>0</v>
      </c>
      <c r="N33" s="758" t="str">
        <f>IF(C33="Abgabe an andere Betriebe",E33*J33*(($F33/365*VLOOKUP(B33,'Daten Tierhaltung'!$B$7:$S$110,17,FALSE))+(($G33/365*VLOOKUP(B33,'Daten Tierhaltung'!$B$7:$S$110,18,FALSE)))),"0")</f>
        <v>0</v>
      </c>
      <c r="O33" s="758">
        <f>IF(C33="auf selbst bewirtschaft. Flächen",E33*J33*(($F33/365*VLOOKUP(B33,'Daten Tierhaltung'!$B$7:$S$110,17,FALSE))+(($G33/365*VLOOKUP(B33,'Daten Tierhaltung'!$B$7:$S$110,18,FALSE)))),"0")</f>
        <v>0</v>
      </c>
      <c r="P33" s="753">
        <f>E33*I33/365*VLOOKUP(B33,'Daten Tierhaltung'!$B$7:$V$110,18,FALSE)*J33</f>
        <v>0</v>
      </c>
      <c r="Q33" s="753" t="str">
        <f>IF(C33="in eigene Biogasanlage",E33*J33*((0.95*F33/365*VLOOKUP(B33,'Daten Tierhaltung'!$B$7:$V$110,17,FALSE))+((0.95*G33/365*VLOOKUP(B33,'Daten Tierhaltung'!$B$7:$V$110,18,FALSE)))),"0")</f>
        <v>0</v>
      </c>
      <c r="R33" s="20">
        <f>E33*IF(A33=6,IF(D33&lt;=8000,0.0015*D33+99,0.001*D33+103),IF(A33=7,IF(D33&lt;=8000,0.0005*D33+95,0.001*D33+91),IF(A33=101,IF(D33&lt;=8000,0.005*D33+56,0.005*D33+56),IF(A33=8,IF(D33&lt;=8000,0.0035*D33+65,0.002*D33+77),IF(A33=9,IF(D33&lt;=8000,0.0035*D33+51,0.003*D33+59),IF(A33=10,IF(D33&lt;=8000,0.0035*D33+50.5,0.0035*D33+56),IF(A33=11,IF(D33&lt;=7000,0.0035*D33+50,0.0025*D33+57.5),VLOOKUP(B33,'Daten Tierhaltung'!$B$7:$J$110,7,FALSE))))))))</f>
        <v>0</v>
      </c>
      <c r="S33" s="20">
        <f>E33*IF(A33=6,IF(D33&lt;=8000,0.0005*D33+30,0.001*D33+26),IF(A33=7,IF(D33&lt;=8000,0.0005*D33+28,0.0005*D33+28),IF(A33=101,IF(D33&lt;=8000,0.0015*D33+18.5,0.0015*D33+19.5),IF(A33=8,IF(D33&lt;=8000,0.0015*D33+19,0.0008*D33+25),IF(A33=9,IF(D33&lt;=8000,0.0015*D33+17,0.0015*D33+17.5),IF(A33=10,IF(D33&lt;=8000,0.001*D33+18.3,0.001*D33+20.4),IF(A33=11,IF(D33&lt;=7000,0.0013*D33+15,0.0013*D33+15.75),VLOOKUP(B33,'Daten Tierhaltung'!$B$7:$J$110,8,FALSE))))))))</f>
        <v>0</v>
      </c>
      <c r="T33" s="20">
        <f>E33*IF(A33=6,IF(D33&lt;=8000,0.002*D33+115,0.0015*D33+119),IF(A33=7,IF(D33&lt;=8000,0.0005*D33+118,0.001*D33+114),IF(A33=101,IF(D33&lt;=8000,0.0005*D33+76,0.001*D33+80),IF(A33=8,IF(D33&lt;=8000,0.004*D33+75,0.003*D33+83),IF(A33=9,IF(D33&lt;=8000,0.004*D33+69,0.0028*D33+79),IF(A33=10,IF(D33&lt;=8000,0.004*D33+60,0.0028*D33+75),IF(A33=11,IF(D33&lt;=7000,0.0045*D33+55,0.0025*D33+69.5),VLOOKUP(B33,'Daten Tierhaltung'!$B$7:$J$110,9,FALSE))))))))</f>
        <v>0</v>
      </c>
      <c r="U33" s="20">
        <f>IF(B33="leer",0,IF(G33&gt;60.8333,(IF(OR(A33=6,A33=7,A33=8,A33=9, A33=10, A33=101),IF(D33&lt;8000,(0.15*D33+6300)/1000,(0.25*D33+5500)/1000),IF(A33=11,(0.25*D33+5650)/1000,VLOOKUP(B33,'Daten Tierhaltung'!$B$7:$Q$110,11,FALSE))))*1/3*Tierhaltung!E33,IF(OR(A33=6,A33=7,A33=8,A33=9, A33=10,A33=101),(0.15*D33+6300)/1000,IF(A33=11,(0.25*D33+5650)/1000,VLOOKUP(B33,'Daten Tierhaltung'!$B$7:$Z$110,11,FALSE)))*G33*E33/182.5))</f>
        <v>0</v>
      </c>
      <c r="V33" s="20">
        <f>IF(B33="leer",0,IF(F33&gt;182.5,IF(OR(A33=6,A33=7,A33=8,A33=9,A33=10,A33=101),(0.25*D33+8000)/1000,VLOOKUP(B33,'Daten Tierhaltung'!$B$7:$Q$81,13,FALSE))*E33,IF(OR(A33=6,A33=7,A33=8,A33=9,A33=10,A33=101),(0.25*D33+8000)/1000,VLOOKUP(B33,'Daten Tierhaltung'!$B$7:$Z$110,13,FALSE))*E33*F33/182.5))</f>
        <v>0</v>
      </c>
      <c r="W33" s="20">
        <f t="shared" si="0"/>
        <v>0</v>
      </c>
      <c r="X33" s="394">
        <f t="shared" si="8"/>
        <v>0</v>
      </c>
      <c r="Y33" s="394">
        <f>IF(B33="leer",0,(IF(F33&gt;=182.5,0,IF(I33&gt;=182.5,(365-I33-F33)*IF(OR(A33=6,A33=7,A33=8,A33=9,A33=10,A33=101),((0.1*D33+2400)/1000)/182.5,VLOOKUP(B33,'Daten Tierhaltung'!$B$7:$Q$110,16,FALSE)),(182.5-F33)*IF(OR(A33=6,A33=7,A33=8,A33=9,A33=10,A33=101),((0.1*D33+2400)/1000)/182.5,(VLOOKUP(B33,'Daten Tierhaltung'!$B$7:$Q$110,16,FALSE)))))))</f>
        <v>0</v>
      </c>
      <c r="Z33" s="394">
        <f>IF(B33="leer",0,(IF(F33&gt;=182.5,0,IF(I33&gt;=182.5,(365-I33-F33)*IF(OR(A33=6,A33=7,A33=8,A33=9,A33=10,A33=101),((0.1*D33+2400)/1000)/(182.5*2),VLOOKUP(B33,'Daten Tierhaltung'!$B$7:$Q$110,16,FALSE)/2),(182.5-F33)*IF(OR(A33=6,A33=7,A33=8,A33=9,A33=10,A33=101),((0.1*D33+2400)/1000)/(182.5*2),(VLOOKUP(B33,'Daten Tierhaltung'!$B$7:$Z$110,16,FALSE)/2))))))</f>
        <v>0</v>
      </c>
      <c r="AA33" s="394">
        <f t="shared" si="1"/>
        <v>0</v>
      </c>
      <c r="AB33" s="394">
        <f>E33*J33*(F33/365*VLOOKUP(B33,'Daten Tierhaltung'!$B$7:$Z$110,22,FALSE)/100+(G33/365*VLOOKUP(B33,'Daten Tierhaltung'!$B$7:$Z$110,23,FALSE))/100)</f>
        <v>0</v>
      </c>
      <c r="AC33" s="394">
        <f>IF(C33="Abgabe an andere Betriebe",0,IF(C33="in eigene Biogasanlage",(E33*J33*((F33+G33)/365)-AB33)*0.1,IF(C33="auf selbst bewirtschaft. Flächen",(E33*J33*((F33+G33)/365)-AB33)*((F33/365*VLOOKUP(B33,'Daten Tierhaltung'!$B$7:$Z$110,24,FALSE)+(G33+I33)/365*VLOOKUP(B33,'Daten Tierhaltung'!$B$7:$Z$110,25,FALSE))/100),0)))</f>
        <v>0</v>
      </c>
      <c r="AD33" s="394">
        <f t="shared" si="2"/>
        <v>0</v>
      </c>
      <c r="AE33" s="20">
        <f t="shared" si="3"/>
        <v>0</v>
      </c>
      <c r="AF33" s="20">
        <f t="shared" si="4"/>
        <v>0</v>
      </c>
      <c r="AG33" s="20">
        <f t="shared" si="5"/>
        <v>0</v>
      </c>
    </row>
    <row r="34" spans="1:33" s="363" customFormat="1">
      <c r="A34" s="1056">
        <f>VLOOKUP(B34,'Daten Tierhaltung'!$B$7:$Z$108,2,FALSE)</f>
        <v>0</v>
      </c>
      <c r="B34" s="820" t="s">
        <v>163</v>
      </c>
      <c r="C34" s="820" t="s">
        <v>223</v>
      </c>
      <c r="D34" s="821">
        <v>0</v>
      </c>
      <c r="E34" s="821">
        <v>0</v>
      </c>
      <c r="F34" s="757">
        <f t="shared" si="6"/>
        <v>365</v>
      </c>
      <c r="G34" s="821">
        <v>0</v>
      </c>
      <c r="H34" s="820" t="s">
        <v>106</v>
      </c>
      <c r="I34" s="821">
        <v>0</v>
      </c>
      <c r="J34" s="758">
        <f>IF(A34=6,IF(D34&lt;=8000,0.0075*D34+69,0.007*D34+73),IF(A34=7,IF(D34&lt;=8000,0.0075*D34+64,0.0085*D34+56),IF(A34=101,IF(D34&lt;=8000,0.0073*D34+51,0.0085*D34+32),IF(A34=8,IF(D34&lt;=8000,0.007*D34+61,0.009*D34+44.667),IF(A34=9,IF(D34&lt;=8000,0.0075*D34+47,0.009*D34+23),IF(A34=10,IF(D34&lt;=8000,0.0075*D34+45,0.0093*D34+27),IF(A34=11,IF(D34&lt;=7000,0.0075*D34+38.5,0.01*D34+21),IF(A34=51,0.0058*D34+7.0627,IF(A34=52,0.0055*D34+6.8356,IF(A34=53,0.0052*D34+6.0136,VLOOKUP(B34,'Daten Tierhaltung'!$B$7:$J$110,4,FALSE)))))))))))</f>
        <v>0</v>
      </c>
      <c r="K34" s="758">
        <f>IF(A34=6,IF(D34&lt;=8000,0.0035*D34+15,0.002*D34+27),IF(A34=7,IF(D34&lt;=8000,0.003*D34+19,0.0025*D34+23),IF(A34=101,IF(D34&lt;=8000,0.0015*D34+24,0.0015*D34+26),IF(A34=8,IF(D34&lt;=8000,0.0025*D34+22,0.0025*D34+22),IF(A34=9,IF(D34&lt;=8000,0.0015*D34+23,0.0015*D34+24),IF(A34=10,IF(D34&lt;=8000,0.001*D34+27,0.001*D34+31.5),IF(A34=11,IF(D34&lt;=7000,0.002*D34+2.2,0.001*D34+7.5),IF(A34=51,0.0009*D34+4.1288,IF(A34=52,0.0014*D34+3.0932,IF(A34=53,0.0006*D34+3.3542,VLOOKUP(B34,'Daten Tierhaltung'!$B$7:$J$110,5,FALSE)))))))))))</f>
        <v>0</v>
      </c>
      <c r="L34" s="758">
        <f>IF(A34=6,IF(D34&lt;=8000,0.004*D34+110,0.004*D34+110),IF(A34=7,IF(D34&lt;=8000,0.0025*D34+114,0.0045*D34+98),IF(A34=101,IF(D34&lt;=8000,0.0025*D34+98,0.0045*D34+96),IF(A34=8,IF(D34&lt;=8000,0.007*D34+67,0.004*D34+91),IF(A34=9,IF(D34&lt;=8000,0.006*D34+68,0.0045*D34+80),IF(A34=10,IF(D34&lt;=8000,0.006*D34+58,0.0045*D34+80),IF(A34=11,IF(D34&lt;=7000,0.006*D34+54,0.006*D34+54),IF(A34=51,0.0023*D34+3.9271,IF(A34=52,0.0028*D34+3.3915,IF(A34=53,0.0024*D34+3.522,VLOOKUP(B34,'Daten Tierhaltung'!$B$7:$J$110,6,FALSE)))))))))))</f>
        <v>0</v>
      </c>
      <c r="M34" s="758">
        <f t="shared" si="7"/>
        <v>0</v>
      </c>
      <c r="N34" s="758" t="str">
        <f>IF(C34="Abgabe an andere Betriebe",E34*J34*(($F34/365*VLOOKUP(B34,'Daten Tierhaltung'!$B$7:$S$110,17,FALSE))+(($G34/365*VLOOKUP(B34,'Daten Tierhaltung'!$B$7:$S$110,18,FALSE)))),"0")</f>
        <v>0</v>
      </c>
      <c r="O34" s="758">
        <f>IF(C34="auf selbst bewirtschaft. Flächen",E34*J34*(($F34/365*VLOOKUP(B34,'Daten Tierhaltung'!$B$7:$S$110,17,FALSE))+(($G34/365*VLOOKUP(B34,'Daten Tierhaltung'!$B$7:$S$110,18,FALSE)))),"0")</f>
        <v>0</v>
      </c>
      <c r="P34" s="753">
        <f>E34*I34/365*VLOOKUP(B34,'Daten Tierhaltung'!$B$7:$V$110,18,FALSE)*J34</f>
        <v>0</v>
      </c>
      <c r="Q34" s="753" t="str">
        <f>IF(C34="in eigene Biogasanlage",E34*J34*((0.95*F34/365*VLOOKUP(B34,'Daten Tierhaltung'!$B$7:$V$110,17,FALSE))+((0.95*G34/365*VLOOKUP(B34,'Daten Tierhaltung'!$B$7:$V$110,18,FALSE)))),"0")</f>
        <v>0</v>
      </c>
      <c r="R34" s="20">
        <f>E34*IF(A34=6,IF(D34&lt;=8000,0.0015*D34+99,0.001*D34+103),IF(A34=7,IF(D34&lt;=8000,0.0005*D34+95,0.001*D34+91),IF(A34=101,IF(D34&lt;=8000,0.005*D34+56,0.005*D34+56),IF(A34=8,IF(D34&lt;=8000,0.0035*D34+65,0.002*D34+77),IF(A34=9,IF(D34&lt;=8000,0.0035*D34+51,0.003*D34+59),IF(A34=10,IF(D34&lt;=8000,0.0035*D34+50.5,0.0035*D34+56),IF(A34=11,IF(D34&lt;=7000,0.0035*D34+50,0.0025*D34+57.5),VLOOKUP(B34,'Daten Tierhaltung'!$B$7:$J$110,7,FALSE))))))))</f>
        <v>0</v>
      </c>
      <c r="S34" s="20">
        <f>E34*IF(A34=6,IF(D34&lt;=8000,0.0005*D34+30,0.001*D34+26),IF(A34=7,IF(D34&lt;=8000,0.0005*D34+28,0.0005*D34+28),IF(A34=101,IF(D34&lt;=8000,0.0015*D34+18.5,0.0015*D34+19.5),IF(A34=8,IF(D34&lt;=8000,0.0015*D34+19,0.0008*D34+25),IF(A34=9,IF(D34&lt;=8000,0.0015*D34+17,0.0015*D34+17.5),IF(A34=10,IF(D34&lt;=8000,0.001*D34+18.3,0.001*D34+20.4),IF(A34=11,IF(D34&lt;=7000,0.0013*D34+15,0.0013*D34+15.75),VLOOKUP(B34,'Daten Tierhaltung'!$B$7:$J$110,8,FALSE))))))))</f>
        <v>0</v>
      </c>
      <c r="T34" s="20">
        <f>E34*IF(A34=6,IF(D34&lt;=8000,0.002*D34+115,0.0015*D34+119),IF(A34=7,IF(D34&lt;=8000,0.0005*D34+118,0.001*D34+114),IF(A34=101,IF(D34&lt;=8000,0.0005*D34+76,0.001*D34+80),IF(A34=8,IF(D34&lt;=8000,0.004*D34+75,0.003*D34+83),IF(A34=9,IF(D34&lt;=8000,0.004*D34+69,0.0028*D34+79),IF(A34=10,IF(D34&lt;=8000,0.004*D34+60,0.0028*D34+75),IF(A34=11,IF(D34&lt;=7000,0.0045*D34+55,0.0025*D34+69.5),VLOOKUP(B34,'Daten Tierhaltung'!$B$7:$J$110,9,FALSE))))))))</f>
        <v>0</v>
      </c>
      <c r="U34" s="20">
        <f>IF(B34="leer",0,IF(G34&gt;60.8333,(IF(OR(A34=6,A34=7,A34=8,A34=9, A34=10, A34=101),IF(D34&lt;8000,(0.15*D34+6300)/1000,(0.25*D34+5500)/1000),IF(A34=11,(0.25*D34+5650)/1000,VLOOKUP(B34,'Daten Tierhaltung'!$B$7:$Q$110,11,FALSE))))*1/3*Tierhaltung!E34,IF(OR(A34=6,A34=7,A34=8,A34=9, A34=10,A34=101),(0.15*D34+6300)/1000,IF(A34=11,(0.25*D34+5650)/1000,VLOOKUP(B34,'Daten Tierhaltung'!$B$7:$Z$110,11,FALSE)))*G34*E34/182.5))</f>
        <v>0</v>
      </c>
      <c r="V34" s="20">
        <f>IF(B34="leer",0,IF(F34&gt;182.5,IF(OR(A34=6,A34=7,A34=8,A34=9,A34=10,A34=101),(0.25*D34+8000)/1000,VLOOKUP(B34,'Daten Tierhaltung'!$B$7:$Q$81,13,FALSE))*E34,IF(OR(A34=6,A34=7,A34=8,A34=9,A34=10,A34=101),(0.25*D34+8000)/1000,VLOOKUP(B34,'Daten Tierhaltung'!$B$7:$Z$110,13,FALSE))*E34*F34/182.5))</f>
        <v>0</v>
      </c>
      <c r="W34" s="20">
        <f t="shared" si="0"/>
        <v>0</v>
      </c>
      <c r="X34" s="394">
        <f t="shared" si="8"/>
        <v>0</v>
      </c>
      <c r="Y34" s="394">
        <f>IF(B34="leer",0,(IF(F34&gt;=182.5,0,IF(I34&gt;=182.5,(365-I34-F34)*IF(OR(A34=6,A34=7,A34=8,A34=9,A34=10,A34=101),((0.1*D34+2400)/1000)/182.5,VLOOKUP(B34,'Daten Tierhaltung'!$B$7:$Q$110,16,FALSE)),(182.5-F34)*IF(OR(A34=6,A34=7,A34=8,A34=9,A34=10,A34=101),((0.1*D34+2400)/1000)/182.5,(VLOOKUP(B34,'Daten Tierhaltung'!$B$7:$Q$110,16,FALSE)))))))</f>
        <v>0</v>
      </c>
      <c r="Z34" s="394">
        <f>IF(B34="leer",0,(IF(F34&gt;=182.5,0,IF(I34&gt;=182.5,(365-I34-F34)*IF(OR(A34=6,A34=7,A34=8,A34=9,A34=10,A34=101),((0.1*D34+2400)/1000)/(182.5*2),VLOOKUP(B34,'Daten Tierhaltung'!$B$7:$Q$110,16,FALSE)/2),(182.5-F34)*IF(OR(A34=6,A34=7,A34=8,A34=9,A34=10,A34=101),((0.1*D34+2400)/1000)/(182.5*2),(VLOOKUP(B34,'Daten Tierhaltung'!$B$7:$Z$110,16,FALSE)/2))))))</f>
        <v>0</v>
      </c>
      <c r="AA34" s="394">
        <f t="shared" si="1"/>
        <v>0</v>
      </c>
      <c r="AB34" s="394">
        <f>E34*J34*(F34/365*VLOOKUP(B34,'Daten Tierhaltung'!$B$7:$Z$110,22,FALSE)/100+(G34/365*VLOOKUP(B34,'Daten Tierhaltung'!$B$7:$Z$110,23,FALSE))/100)</f>
        <v>0</v>
      </c>
      <c r="AC34" s="394">
        <f>IF(C34="Abgabe an andere Betriebe",0,IF(C34="in eigene Biogasanlage",(E34*J34*((F34+G34)/365)-AB34)*0.1,IF(C34="auf selbst bewirtschaft. Flächen",(E34*J34*((F34+G34)/365)-AB34)*((F34/365*VLOOKUP(B34,'Daten Tierhaltung'!$B$7:$Z$110,24,FALSE)+(G34+I34)/365*VLOOKUP(B34,'Daten Tierhaltung'!$B$7:$Z$110,25,FALSE))/100),0)))</f>
        <v>0</v>
      </c>
      <c r="AD34" s="394">
        <f t="shared" si="2"/>
        <v>0</v>
      </c>
      <c r="AE34" s="20">
        <f t="shared" si="3"/>
        <v>0</v>
      </c>
      <c r="AF34" s="20">
        <f t="shared" si="4"/>
        <v>0</v>
      </c>
      <c r="AG34" s="20">
        <f t="shared" si="5"/>
        <v>0</v>
      </c>
    </row>
    <row r="35" spans="1:33" s="363" customFormat="1">
      <c r="A35" s="1056">
        <f>VLOOKUP(B35,'Daten Tierhaltung'!$B$7:$Z$108,2,FALSE)</f>
        <v>0</v>
      </c>
      <c r="B35" s="820" t="s">
        <v>163</v>
      </c>
      <c r="C35" s="820" t="s">
        <v>223</v>
      </c>
      <c r="D35" s="821">
        <v>0</v>
      </c>
      <c r="E35" s="821">
        <v>0</v>
      </c>
      <c r="F35" s="757">
        <f t="shared" si="6"/>
        <v>365</v>
      </c>
      <c r="G35" s="821">
        <v>0</v>
      </c>
      <c r="H35" s="820" t="s">
        <v>106</v>
      </c>
      <c r="I35" s="821">
        <v>0</v>
      </c>
      <c r="J35" s="758">
        <f>IF(A35=6,IF(D35&lt;=8000,0.0075*D35+69,0.007*D35+73),IF(A35=7,IF(D35&lt;=8000,0.0075*D35+64,0.0085*D35+56),IF(A35=101,IF(D35&lt;=8000,0.0073*D35+51,0.0085*D35+32),IF(A35=8,IF(D35&lt;=8000,0.007*D35+61,0.009*D35+44.667),IF(A35=9,IF(D35&lt;=8000,0.0075*D35+47,0.009*D35+23),IF(A35=10,IF(D35&lt;=8000,0.0075*D35+45,0.0093*D35+27),IF(A35=11,IF(D35&lt;=7000,0.0075*D35+38.5,0.01*D35+21),IF(A35=51,0.0058*D35+7.0627,IF(A35=52,0.0055*D35+6.8356,IF(A35=53,0.0052*D35+6.0136,VLOOKUP(B35,'Daten Tierhaltung'!$B$7:$J$110,4,FALSE)))))))))))</f>
        <v>0</v>
      </c>
      <c r="K35" s="758">
        <f>IF(A35=6,IF(D35&lt;=8000,0.0035*D35+15,0.002*D35+27),IF(A35=7,IF(D35&lt;=8000,0.003*D35+19,0.0025*D35+23),IF(A35=101,IF(D35&lt;=8000,0.0015*D35+24,0.0015*D35+26),IF(A35=8,IF(D35&lt;=8000,0.0025*D35+22,0.0025*D35+22),IF(A35=9,IF(D35&lt;=8000,0.0015*D35+23,0.0015*D35+24),IF(A35=10,IF(D35&lt;=8000,0.001*D35+27,0.001*D35+31.5),IF(A35=11,IF(D35&lt;=7000,0.002*D35+2.2,0.001*D35+7.5),IF(A35=51,0.0009*D35+4.1288,IF(A35=52,0.0014*D35+3.0932,IF(A35=53,0.0006*D35+3.3542,VLOOKUP(B35,'Daten Tierhaltung'!$B$7:$J$110,5,FALSE)))))))))))</f>
        <v>0</v>
      </c>
      <c r="L35" s="758">
        <f>IF(A35=6,IF(D35&lt;=8000,0.004*D35+110,0.004*D35+110),IF(A35=7,IF(D35&lt;=8000,0.0025*D35+114,0.0045*D35+98),IF(A35=101,IF(D35&lt;=8000,0.0025*D35+98,0.0045*D35+96),IF(A35=8,IF(D35&lt;=8000,0.007*D35+67,0.004*D35+91),IF(A35=9,IF(D35&lt;=8000,0.006*D35+68,0.0045*D35+80),IF(A35=10,IF(D35&lt;=8000,0.006*D35+58,0.0045*D35+80),IF(A35=11,IF(D35&lt;=7000,0.006*D35+54,0.006*D35+54),IF(A35=51,0.0023*D35+3.9271,IF(A35=52,0.0028*D35+3.3915,IF(A35=53,0.0024*D35+3.522,VLOOKUP(B35,'Daten Tierhaltung'!$B$7:$J$110,6,FALSE)))))))))))</f>
        <v>0</v>
      </c>
      <c r="M35" s="758">
        <f t="shared" si="7"/>
        <v>0</v>
      </c>
      <c r="N35" s="758" t="str">
        <f>IF(C35="Abgabe an andere Betriebe",E35*J35*(($F35/365*VLOOKUP(B35,'Daten Tierhaltung'!$B$7:$S$110,17,FALSE))+(($G35/365*VLOOKUP(B35,'Daten Tierhaltung'!$B$7:$S$110,18,FALSE)))),"0")</f>
        <v>0</v>
      </c>
      <c r="O35" s="758">
        <f>IF(C35="auf selbst bewirtschaft. Flächen",E35*J35*(($F35/365*VLOOKUP(B35,'Daten Tierhaltung'!$B$7:$S$110,17,FALSE))+(($G35/365*VLOOKUP(B35,'Daten Tierhaltung'!$B$7:$S$110,18,FALSE)))),"0")</f>
        <v>0</v>
      </c>
      <c r="P35" s="753">
        <f>E35*I35/365*VLOOKUP(B35,'Daten Tierhaltung'!$B$7:$V$110,18,FALSE)*J35</f>
        <v>0</v>
      </c>
      <c r="Q35" s="753" t="str">
        <f>IF(C35="in eigene Biogasanlage",E35*J35*((0.95*F35/365*VLOOKUP(B35,'Daten Tierhaltung'!$B$7:$V$110,17,FALSE))+((0.95*G35/365*VLOOKUP(B35,'Daten Tierhaltung'!$B$7:$V$110,18,FALSE)))),"0")</f>
        <v>0</v>
      </c>
      <c r="R35" s="20">
        <f>E35*IF(A35=6,IF(D35&lt;=8000,0.0015*D35+99,0.001*D35+103),IF(A35=7,IF(D35&lt;=8000,0.0005*D35+95,0.001*D35+91),IF(A35=101,IF(D35&lt;=8000,0.005*D35+56,0.005*D35+56),IF(A35=8,IF(D35&lt;=8000,0.0035*D35+65,0.002*D35+77),IF(A35=9,IF(D35&lt;=8000,0.0035*D35+51,0.003*D35+59),IF(A35=10,IF(D35&lt;=8000,0.0035*D35+50.5,0.0035*D35+56),IF(A35=11,IF(D35&lt;=7000,0.0035*D35+50,0.0025*D35+57.5),VLOOKUP(B35,'Daten Tierhaltung'!$B$7:$J$110,7,FALSE))))))))</f>
        <v>0</v>
      </c>
      <c r="S35" s="20">
        <f>E35*IF(A35=6,IF(D35&lt;=8000,0.0005*D35+30,0.001*D35+26),IF(A35=7,IF(D35&lt;=8000,0.0005*D35+28,0.0005*D35+28),IF(A35=101,IF(D35&lt;=8000,0.0015*D35+18.5,0.0015*D35+19.5),IF(A35=8,IF(D35&lt;=8000,0.0015*D35+19,0.0008*D35+25),IF(A35=9,IF(D35&lt;=8000,0.0015*D35+17,0.0015*D35+17.5),IF(A35=10,IF(D35&lt;=8000,0.001*D35+18.3,0.001*D35+20.4),IF(A35=11,IF(D35&lt;=7000,0.0013*D35+15,0.0013*D35+15.75),VLOOKUP(B35,'Daten Tierhaltung'!$B$7:$J$110,8,FALSE))))))))</f>
        <v>0</v>
      </c>
      <c r="T35" s="20">
        <f>E35*IF(A35=6,IF(D35&lt;=8000,0.002*D35+115,0.0015*D35+119),IF(A35=7,IF(D35&lt;=8000,0.0005*D35+118,0.001*D35+114),IF(A35=101,IF(D35&lt;=8000,0.0005*D35+76,0.001*D35+80),IF(A35=8,IF(D35&lt;=8000,0.004*D35+75,0.003*D35+83),IF(A35=9,IF(D35&lt;=8000,0.004*D35+69,0.0028*D35+79),IF(A35=10,IF(D35&lt;=8000,0.004*D35+60,0.0028*D35+75),IF(A35=11,IF(D35&lt;=7000,0.0045*D35+55,0.0025*D35+69.5),VLOOKUP(B35,'Daten Tierhaltung'!$B$7:$J$110,9,FALSE))))))))</f>
        <v>0</v>
      </c>
      <c r="U35" s="20">
        <f>IF(B35="leer",0,IF(G35&gt;60.8333,(IF(OR(A35=6,A35=7,A35=8,A35=9, A35=10, A35=101),IF(D35&lt;8000,(0.15*D35+6300)/1000,(0.25*D35+5500)/1000),IF(A35=11,(0.25*D35+5650)/1000,VLOOKUP(B35,'Daten Tierhaltung'!$B$7:$Q$110,11,FALSE))))*1/3*Tierhaltung!E35,IF(OR(A35=6,A35=7,A35=8,A35=9, A35=10,A35=101),(0.15*D35+6300)/1000,IF(A35=11,(0.25*D35+5650)/1000,VLOOKUP(B35,'Daten Tierhaltung'!$B$7:$Z$110,11,FALSE)))*G35*E35/182.5))</f>
        <v>0</v>
      </c>
      <c r="V35" s="20">
        <f>IF(B35="leer",0,IF(F35&gt;182.5,IF(OR(A35=6,A35=7,A35=8,A35=9,A35=10,A35=101),(0.25*D35+8000)/1000,VLOOKUP(B35,'Daten Tierhaltung'!$B$7:$Q$81,13,FALSE))*E35,IF(OR(A35=6,A35=7,A35=8,A35=9,A35=10,A35=101),(0.25*D35+8000)/1000,VLOOKUP(B35,'Daten Tierhaltung'!$B$7:$Z$110,13,FALSE))*E35*F35/182.5))</f>
        <v>0</v>
      </c>
      <c r="W35" s="20">
        <f t="shared" si="0"/>
        <v>0</v>
      </c>
      <c r="X35" s="394">
        <f t="shared" si="8"/>
        <v>0</v>
      </c>
      <c r="Y35" s="394">
        <f>IF(B35="leer",0,(IF(F35&gt;=182.5,0,IF(I35&gt;=182.5,(365-I35-F35)*IF(OR(A35=6,A35=7,A35=8,A35=9,A35=10,A35=101),((0.1*D35+2400)/1000)/182.5,VLOOKUP(B35,'Daten Tierhaltung'!$B$7:$Q$110,16,FALSE)),(182.5-F35)*IF(OR(A35=6,A35=7,A35=8,A35=9,A35=10,A35=101),((0.1*D35+2400)/1000)/182.5,(VLOOKUP(B35,'Daten Tierhaltung'!$B$7:$Q$110,16,FALSE)))))))</f>
        <v>0</v>
      </c>
      <c r="Z35" s="394">
        <f>IF(B35="leer",0,(IF(F35&gt;=182.5,0,IF(I35&gt;=182.5,(365-I35-F35)*IF(OR(A35=6,A35=7,A35=8,A35=9,A35=10,A35=101),((0.1*D35+2400)/1000)/(182.5*2),VLOOKUP(B35,'Daten Tierhaltung'!$B$7:$Q$110,16,FALSE)/2),(182.5-F35)*IF(OR(A35=6,A35=7,A35=8,A35=9,A35=10,A35=101),((0.1*D35+2400)/1000)/(182.5*2),(VLOOKUP(B35,'Daten Tierhaltung'!$B$7:$Z$110,16,FALSE)/2))))))</f>
        <v>0</v>
      </c>
      <c r="AA35" s="394">
        <f t="shared" si="1"/>
        <v>0</v>
      </c>
      <c r="AB35" s="394">
        <f>E35*J35*(F35/365*VLOOKUP(B35,'Daten Tierhaltung'!$B$7:$Z$110,22,FALSE)/100+(G35/365*VLOOKUP(B35,'Daten Tierhaltung'!$B$7:$Z$110,23,FALSE))/100)</f>
        <v>0</v>
      </c>
      <c r="AC35" s="394">
        <f>IF(C35="Abgabe an andere Betriebe",0,IF(C35="in eigene Biogasanlage",(E35*J35*((F35+G35)/365)-AB35)*0.1,IF(C35="auf selbst bewirtschaft. Flächen",(E35*J35*((F35+G35)/365)-AB35)*((F35/365*VLOOKUP(B35,'Daten Tierhaltung'!$B$7:$Z$110,24,FALSE)+(G35+I35)/365*VLOOKUP(B35,'Daten Tierhaltung'!$B$7:$Z$110,25,FALSE))/100),0)))</f>
        <v>0</v>
      </c>
      <c r="AD35" s="394">
        <f t="shared" si="2"/>
        <v>0</v>
      </c>
      <c r="AE35" s="20">
        <f t="shared" si="3"/>
        <v>0</v>
      </c>
      <c r="AF35" s="20">
        <f t="shared" si="4"/>
        <v>0</v>
      </c>
      <c r="AG35" s="20">
        <f t="shared" si="5"/>
        <v>0</v>
      </c>
    </row>
    <row r="36" spans="1:33" s="363" customFormat="1">
      <c r="A36" s="1056">
        <f>VLOOKUP(B36,'Daten Tierhaltung'!$B$7:$Z$108,2,FALSE)</f>
        <v>0</v>
      </c>
      <c r="B36" s="820" t="s">
        <v>163</v>
      </c>
      <c r="C36" s="820" t="s">
        <v>223</v>
      </c>
      <c r="D36" s="821">
        <v>0</v>
      </c>
      <c r="E36" s="821">
        <v>0</v>
      </c>
      <c r="F36" s="757">
        <f t="shared" si="6"/>
        <v>365</v>
      </c>
      <c r="G36" s="821">
        <v>0</v>
      </c>
      <c r="H36" s="820" t="s">
        <v>106</v>
      </c>
      <c r="I36" s="821">
        <v>0</v>
      </c>
      <c r="J36" s="758">
        <f>IF(A36=6,IF(D36&lt;=8000,0.0075*D36+69,0.007*D36+73),IF(A36=7,IF(D36&lt;=8000,0.0075*D36+64,0.0085*D36+56),IF(A36=101,IF(D36&lt;=8000,0.0073*D36+51,0.0085*D36+32),IF(A36=8,IF(D36&lt;=8000,0.007*D36+61,0.009*D36+44.667),IF(A36=9,IF(D36&lt;=8000,0.0075*D36+47,0.009*D36+23),IF(A36=10,IF(D36&lt;=8000,0.0075*D36+45,0.0093*D36+27),IF(A36=11,IF(D36&lt;=7000,0.0075*D36+38.5,0.01*D36+21),IF(A36=51,0.0058*D36+7.0627,IF(A36=52,0.0055*D36+6.8356,IF(A36=53,0.0052*D36+6.0136,VLOOKUP(B36,'Daten Tierhaltung'!$B$7:$J$110,4,FALSE)))))))))))</f>
        <v>0</v>
      </c>
      <c r="K36" s="758">
        <f>IF(A36=6,IF(D36&lt;=8000,0.0035*D36+15,0.002*D36+27),IF(A36=7,IF(D36&lt;=8000,0.003*D36+19,0.0025*D36+23),IF(A36=101,IF(D36&lt;=8000,0.0015*D36+24,0.0015*D36+26),IF(A36=8,IF(D36&lt;=8000,0.0025*D36+22,0.0025*D36+22),IF(A36=9,IF(D36&lt;=8000,0.0015*D36+23,0.0015*D36+24),IF(A36=10,IF(D36&lt;=8000,0.001*D36+27,0.001*D36+31.5),IF(A36=11,IF(D36&lt;=7000,0.002*D36+2.2,0.001*D36+7.5),IF(A36=51,0.0009*D36+4.1288,IF(A36=52,0.0014*D36+3.0932,IF(A36=53,0.0006*D36+3.3542,VLOOKUP(B36,'Daten Tierhaltung'!$B$7:$J$110,5,FALSE)))))))))))</f>
        <v>0</v>
      </c>
      <c r="L36" s="758">
        <f>IF(A36=6,IF(D36&lt;=8000,0.004*D36+110,0.004*D36+110),IF(A36=7,IF(D36&lt;=8000,0.0025*D36+114,0.0045*D36+98),IF(A36=101,IF(D36&lt;=8000,0.0025*D36+98,0.0045*D36+96),IF(A36=8,IF(D36&lt;=8000,0.007*D36+67,0.004*D36+91),IF(A36=9,IF(D36&lt;=8000,0.006*D36+68,0.0045*D36+80),IF(A36=10,IF(D36&lt;=8000,0.006*D36+58,0.0045*D36+80),IF(A36=11,IF(D36&lt;=7000,0.006*D36+54,0.006*D36+54),IF(A36=51,0.0023*D36+3.9271,IF(A36=52,0.0028*D36+3.3915,IF(A36=53,0.0024*D36+3.522,VLOOKUP(B36,'Daten Tierhaltung'!$B$7:$J$110,6,FALSE)))))))))))</f>
        <v>0</v>
      </c>
      <c r="M36" s="758">
        <f t="shared" si="7"/>
        <v>0</v>
      </c>
      <c r="N36" s="758" t="str">
        <f>IF(C36="Abgabe an andere Betriebe",E36*J36*(($F36/365*VLOOKUP(B36,'Daten Tierhaltung'!$B$7:$S$110,17,FALSE))+(($G36/365*VLOOKUP(B36,'Daten Tierhaltung'!$B$7:$S$110,18,FALSE)))),"0")</f>
        <v>0</v>
      </c>
      <c r="O36" s="758">
        <f>IF(C36="auf selbst bewirtschaft. Flächen",E36*J36*(($F36/365*VLOOKUP(B36,'Daten Tierhaltung'!$B$7:$S$110,17,FALSE))+(($G36/365*VLOOKUP(B36,'Daten Tierhaltung'!$B$7:$S$110,18,FALSE)))),"0")</f>
        <v>0</v>
      </c>
      <c r="P36" s="753">
        <f>E36*I36/365*VLOOKUP(B36,'Daten Tierhaltung'!$B$7:$V$110,18,FALSE)*J36</f>
        <v>0</v>
      </c>
      <c r="Q36" s="753" t="str">
        <f>IF(C36="in eigene Biogasanlage",E36*J36*((0.95*F36/365*VLOOKUP(B36,'Daten Tierhaltung'!$B$7:$V$110,17,FALSE))+((0.95*G36/365*VLOOKUP(B36,'Daten Tierhaltung'!$B$7:$V$110,18,FALSE)))),"0")</f>
        <v>0</v>
      </c>
      <c r="R36" s="20">
        <f>E36*IF(A36=6,IF(D36&lt;=8000,0.0015*D36+99,0.001*D36+103),IF(A36=7,IF(D36&lt;=8000,0.0005*D36+95,0.001*D36+91),IF(A36=101,IF(D36&lt;=8000,0.005*D36+56,0.005*D36+56),IF(A36=8,IF(D36&lt;=8000,0.0035*D36+65,0.002*D36+77),IF(A36=9,IF(D36&lt;=8000,0.0035*D36+51,0.003*D36+59),IF(A36=10,IF(D36&lt;=8000,0.0035*D36+50.5,0.0035*D36+56),IF(A36=11,IF(D36&lt;=7000,0.0035*D36+50,0.0025*D36+57.5),VLOOKUP(B36,'Daten Tierhaltung'!$B$7:$J$110,7,FALSE))))))))</f>
        <v>0</v>
      </c>
      <c r="S36" s="20">
        <f>E36*IF(A36=6,IF(D36&lt;=8000,0.0005*D36+30,0.001*D36+26),IF(A36=7,IF(D36&lt;=8000,0.0005*D36+28,0.0005*D36+28),IF(A36=101,IF(D36&lt;=8000,0.0015*D36+18.5,0.0015*D36+19.5),IF(A36=8,IF(D36&lt;=8000,0.0015*D36+19,0.0008*D36+25),IF(A36=9,IF(D36&lt;=8000,0.0015*D36+17,0.0015*D36+17.5),IF(A36=10,IF(D36&lt;=8000,0.001*D36+18.3,0.001*D36+20.4),IF(A36=11,IF(D36&lt;=7000,0.0013*D36+15,0.0013*D36+15.75),VLOOKUP(B36,'Daten Tierhaltung'!$B$7:$J$110,8,FALSE))))))))</f>
        <v>0</v>
      </c>
      <c r="T36" s="20">
        <f>E36*IF(A36=6,IF(D36&lt;=8000,0.002*D36+115,0.0015*D36+119),IF(A36=7,IF(D36&lt;=8000,0.0005*D36+118,0.001*D36+114),IF(A36=101,IF(D36&lt;=8000,0.0005*D36+76,0.001*D36+80),IF(A36=8,IF(D36&lt;=8000,0.004*D36+75,0.003*D36+83),IF(A36=9,IF(D36&lt;=8000,0.004*D36+69,0.0028*D36+79),IF(A36=10,IF(D36&lt;=8000,0.004*D36+60,0.0028*D36+75),IF(A36=11,IF(D36&lt;=7000,0.0045*D36+55,0.0025*D36+69.5),VLOOKUP(B36,'Daten Tierhaltung'!$B$7:$J$110,9,FALSE))))))))</f>
        <v>0</v>
      </c>
      <c r="U36" s="20">
        <f>IF(B36="leer",0,IF(G36&gt;60.8333,(IF(OR(A36=6,A36=7,A36=8,A36=9, A36=10, A36=101),IF(D36&lt;8000,(0.15*D36+6300)/1000,(0.25*D36+5500)/1000),IF(A36=11,(0.25*D36+5650)/1000,VLOOKUP(B36,'Daten Tierhaltung'!$B$7:$Q$110,11,FALSE))))*1/3*Tierhaltung!E36,IF(OR(A36=6,A36=7,A36=8,A36=9, A36=10,A36=101),(0.15*D36+6300)/1000,IF(A36=11,(0.25*D36+5650)/1000,VLOOKUP(B36,'Daten Tierhaltung'!$B$7:$Z$110,11,FALSE)))*G36*E36/182.5))</f>
        <v>0</v>
      </c>
      <c r="V36" s="20">
        <f>IF(B36="leer",0,IF(F36&gt;182.5,IF(OR(A36=6,A36=7,A36=8,A36=9,A36=10,A36=101),(0.25*D36+8000)/1000,VLOOKUP(B36,'Daten Tierhaltung'!$B$7:$Q$81,13,FALSE))*E36,IF(OR(A36=6,A36=7,A36=8,A36=9,A36=10,A36=101),(0.25*D36+8000)/1000,VLOOKUP(B36,'Daten Tierhaltung'!$B$7:$Z$110,13,FALSE))*E36*F36/182.5))</f>
        <v>0</v>
      </c>
      <c r="W36" s="20">
        <f t="shared" si="0"/>
        <v>0</v>
      </c>
      <c r="X36" s="394">
        <f t="shared" si="8"/>
        <v>0</v>
      </c>
      <c r="Y36" s="394">
        <f>IF(B36="leer",0,(IF(F36&gt;=182.5,0,IF(I36&gt;=182.5,(365-I36-F36)*IF(OR(A36=6,A36=7,A36=8,A36=9,A36=10,A36=101),((0.1*D36+2400)/1000)/182.5,VLOOKUP(B36,'Daten Tierhaltung'!$B$7:$Q$110,16,FALSE)),(182.5-F36)*IF(OR(A36=6,A36=7,A36=8,A36=9,A36=10,A36=101),((0.1*D36+2400)/1000)/182.5,(VLOOKUP(B36,'Daten Tierhaltung'!$B$7:$Q$110,16,FALSE)))))))</f>
        <v>0</v>
      </c>
      <c r="Z36" s="394">
        <f>IF(B36="leer",0,(IF(F36&gt;=182.5,0,IF(I36&gt;=182.5,(365-I36-F36)*IF(OR(A36=6,A36=7,A36=8,A36=9,A36=10,A36=101),((0.1*D36+2400)/1000)/(182.5*2),VLOOKUP(B36,'Daten Tierhaltung'!$B$7:$Q$110,16,FALSE)/2),(182.5-F36)*IF(OR(A36=6,A36=7,A36=8,A36=9,A36=10,A36=101),((0.1*D36+2400)/1000)/(182.5*2),(VLOOKUP(B36,'Daten Tierhaltung'!$B$7:$Z$110,16,FALSE)/2))))))</f>
        <v>0</v>
      </c>
      <c r="AA36" s="394">
        <f t="shared" si="1"/>
        <v>0</v>
      </c>
      <c r="AB36" s="394">
        <f>E36*J36*(F36/365*VLOOKUP(B36,'Daten Tierhaltung'!$B$7:$Z$110,22,FALSE)/100+(G36/365*VLOOKUP(B36,'Daten Tierhaltung'!$B$7:$Z$110,23,FALSE))/100)</f>
        <v>0</v>
      </c>
      <c r="AC36" s="394">
        <f>IF(C36="Abgabe an andere Betriebe",0,IF(C36="in eigene Biogasanlage",(E36*J36*((F36+G36)/365)-AB36)*0.1,IF(C36="auf selbst bewirtschaft. Flächen",(E36*J36*((F36+G36)/365)-AB36)*((F36/365*VLOOKUP(B36,'Daten Tierhaltung'!$B$7:$Z$110,24,FALSE)+(G36+I36)/365*VLOOKUP(B36,'Daten Tierhaltung'!$B$7:$Z$110,25,FALSE))/100),0)))</f>
        <v>0</v>
      </c>
      <c r="AD36" s="394">
        <f t="shared" si="2"/>
        <v>0</v>
      </c>
      <c r="AE36" s="20">
        <f t="shared" si="3"/>
        <v>0</v>
      </c>
      <c r="AF36" s="20">
        <f t="shared" si="4"/>
        <v>0</v>
      </c>
      <c r="AG36" s="20">
        <f t="shared" si="5"/>
        <v>0</v>
      </c>
    </row>
    <row r="37" spans="1:33" s="363" customFormat="1">
      <c r="A37" s="1056">
        <f>VLOOKUP(B37,'Daten Tierhaltung'!$B$7:$Z$108,2,FALSE)</f>
        <v>0</v>
      </c>
      <c r="B37" s="820" t="s">
        <v>163</v>
      </c>
      <c r="C37" s="820" t="s">
        <v>223</v>
      </c>
      <c r="D37" s="821">
        <v>0</v>
      </c>
      <c r="E37" s="821">
        <v>0</v>
      </c>
      <c r="F37" s="757">
        <f t="shared" si="6"/>
        <v>365</v>
      </c>
      <c r="G37" s="821">
        <v>0</v>
      </c>
      <c r="H37" s="820" t="s">
        <v>106</v>
      </c>
      <c r="I37" s="821">
        <v>0</v>
      </c>
      <c r="J37" s="758">
        <f>IF(A37=6,IF(D37&lt;=8000,0.0075*D37+69,0.007*D37+73),IF(A37=7,IF(D37&lt;=8000,0.0075*D37+64,0.0085*D37+56),IF(A37=101,IF(D37&lt;=8000,0.0073*D37+51,0.0085*D37+32),IF(A37=8,IF(D37&lt;=8000,0.007*D37+61,0.009*D37+44.667),IF(A37=9,IF(D37&lt;=8000,0.0075*D37+47,0.009*D37+23),IF(A37=10,IF(D37&lt;=8000,0.0075*D37+45,0.0093*D37+27),IF(A37=11,IF(D37&lt;=7000,0.0075*D37+38.5,0.01*D37+21),IF(A37=51,0.0058*D37+7.0627,IF(A37=52,0.0055*D37+6.8356,IF(A37=53,0.0052*D37+6.0136,VLOOKUP(B37,'Daten Tierhaltung'!$B$7:$J$110,4,FALSE)))))))))))</f>
        <v>0</v>
      </c>
      <c r="K37" s="758">
        <f>IF(A37=6,IF(D37&lt;=8000,0.0035*D37+15,0.002*D37+27),IF(A37=7,IF(D37&lt;=8000,0.003*D37+19,0.0025*D37+23),IF(A37=101,IF(D37&lt;=8000,0.0015*D37+24,0.0015*D37+26),IF(A37=8,IF(D37&lt;=8000,0.0025*D37+22,0.0025*D37+22),IF(A37=9,IF(D37&lt;=8000,0.0015*D37+23,0.0015*D37+24),IF(A37=10,IF(D37&lt;=8000,0.001*D37+27,0.001*D37+31.5),IF(A37=11,IF(D37&lt;=7000,0.002*D37+2.2,0.001*D37+7.5),IF(A37=51,0.0009*D37+4.1288,IF(A37=52,0.0014*D37+3.0932,IF(A37=53,0.0006*D37+3.3542,VLOOKUP(B37,'Daten Tierhaltung'!$B$7:$J$110,5,FALSE)))))))))))</f>
        <v>0</v>
      </c>
      <c r="L37" s="758">
        <f>IF(A37=6,IF(D37&lt;=8000,0.004*D37+110,0.004*D37+110),IF(A37=7,IF(D37&lt;=8000,0.0025*D37+114,0.0045*D37+98),IF(A37=101,IF(D37&lt;=8000,0.0025*D37+98,0.0045*D37+96),IF(A37=8,IF(D37&lt;=8000,0.007*D37+67,0.004*D37+91),IF(A37=9,IF(D37&lt;=8000,0.006*D37+68,0.0045*D37+80),IF(A37=10,IF(D37&lt;=8000,0.006*D37+58,0.0045*D37+80),IF(A37=11,IF(D37&lt;=7000,0.006*D37+54,0.006*D37+54),IF(A37=51,0.0023*D37+3.9271,IF(A37=52,0.0028*D37+3.3915,IF(A37=53,0.0024*D37+3.522,VLOOKUP(B37,'Daten Tierhaltung'!$B$7:$J$110,6,FALSE)))))))))))</f>
        <v>0</v>
      </c>
      <c r="M37" s="758">
        <f t="shared" si="7"/>
        <v>0</v>
      </c>
      <c r="N37" s="758" t="str">
        <f>IF(C37="Abgabe an andere Betriebe",E37*J37*(($F37/365*VLOOKUP(B37,'Daten Tierhaltung'!$B$7:$S$110,17,FALSE))+(($G37/365*VLOOKUP(B37,'Daten Tierhaltung'!$B$7:$S$110,18,FALSE)))),"0")</f>
        <v>0</v>
      </c>
      <c r="O37" s="758">
        <f>IF(C37="auf selbst bewirtschaft. Flächen",E37*J37*(($F37/365*VLOOKUP(B37,'Daten Tierhaltung'!$B$7:$S$110,17,FALSE))+(($G37/365*VLOOKUP(B37,'Daten Tierhaltung'!$B$7:$S$110,18,FALSE)))),"0")</f>
        <v>0</v>
      </c>
      <c r="P37" s="753">
        <f>E37*I37/365*VLOOKUP(B37,'Daten Tierhaltung'!$B$7:$V$110,18,FALSE)*J37</f>
        <v>0</v>
      </c>
      <c r="Q37" s="753" t="str">
        <f>IF(C37="in eigene Biogasanlage",E37*J37*((0.95*F37/365*VLOOKUP(B37,'Daten Tierhaltung'!$B$7:$V$110,17,FALSE))+((0.95*G37/365*VLOOKUP(B37,'Daten Tierhaltung'!$B$7:$V$110,18,FALSE)))),"0")</f>
        <v>0</v>
      </c>
      <c r="R37" s="20">
        <f>E37*IF(A37=6,IF(D37&lt;=8000,0.0015*D37+99,0.001*D37+103),IF(A37=7,IF(D37&lt;=8000,0.0005*D37+95,0.001*D37+91),IF(A37=101,IF(D37&lt;=8000,0.005*D37+56,0.005*D37+56),IF(A37=8,IF(D37&lt;=8000,0.0035*D37+65,0.002*D37+77),IF(A37=9,IF(D37&lt;=8000,0.0035*D37+51,0.003*D37+59),IF(A37=10,IF(D37&lt;=8000,0.0035*D37+50.5,0.0035*D37+56),IF(A37=11,IF(D37&lt;=7000,0.0035*D37+50,0.0025*D37+57.5),VLOOKUP(B37,'Daten Tierhaltung'!$B$7:$J$110,7,FALSE))))))))</f>
        <v>0</v>
      </c>
      <c r="S37" s="20">
        <f>E37*IF(A37=6,IF(D37&lt;=8000,0.0005*D37+30,0.001*D37+26),IF(A37=7,IF(D37&lt;=8000,0.0005*D37+28,0.0005*D37+28),IF(A37=101,IF(D37&lt;=8000,0.0015*D37+18.5,0.0015*D37+19.5),IF(A37=8,IF(D37&lt;=8000,0.0015*D37+19,0.0008*D37+25),IF(A37=9,IF(D37&lt;=8000,0.0015*D37+17,0.0015*D37+17.5),IF(A37=10,IF(D37&lt;=8000,0.001*D37+18.3,0.001*D37+20.4),IF(A37=11,IF(D37&lt;=7000,0.0013*D37+15,0.0013*D37+15.75),VLOOKUP(B37,'Daten Tierhaltung'!$B$7:$J$110,8,FALSE))))))))</f>
        <v>0</v>
      </c>
      <c r="T37" s="20">
        <f>E37*IF(A37=6,IF(D37&lt;=8000,0.002*D37+115,0.0015*D37+119),IF(A37=7,IF(D37&lt;=8000,0.0005*D37+118,0.001*D37+114),IF(A37=101,IF(D37&lt;=8000,0.0005*D37+76,0.001*D37+80),IF(A37=8,IF(D37&lt;=8000,0.004*D37+75,0.003*D37+83),IF(A37=9,IF(D37&lt;=8000,0.004*D37+69,0.0028*D37+79),IF(A37=10,IF(D37&lt;=8000,0.004*D37+60,0.0028*D37+75),IF(A37=11,IF(D37&lt;=7000,0.0045*D37+55,0.0025*D37+69.5),VLOOKUP(B37,'Daten Tierhaltung'!$B$7:$J$110,9,FALSE))))))))</f>
        <v>0</v>
      </c>
      <c r="U37" s="20">
        <f>IF(B37="leer",0,IF(G37&gt;60.8333,(IF(OR(A37=6,A37=7,A37=8,A37=9, A37=10, A37=101),IF(D37&lt;8000,(0.15*D37+6300)/1000,(0.25*D37+5500)/1000),IF(A37=11,(0.25*D37+5650)/1000,VLOOKUP(B37,'Daten Tierhaltung'!$B$7:$Q$110,11,FALSE))))*1/3*Tierhaltung!E37,IF(OR(A37=6,A37=7,A37=8,A37=9, A37=10,A37=101),(0.15*D37+6300)/1000,IF(A37=11,(0.25*D37+5650)/1000,VLOOKUP(B37,'Daten Tierhaltung'!$B$7:$Z$110,11,FALSE)))*G37*E37/182.5))</f>
        <v>0</v>
      </c>
      <c r="V37" s="20">
        <f>IF(B37="leer",0,IF(F37&gt;182.5,IF(OR(A37=6,A37=7,A37=8,A37=9,A37=10,A37=101),(0.25*D37+8000)/1000,VLOOKUP(B37,'Daten Tierhaltung'!$B$7:$Q$81,13,FALSE))*E37,IF(OR(A37=6,A37=7,A37=8,A37=9,A37=10,A37=101),(0.25*D37+8000)/1000,VLOOKUP(B37,'Daten Tierhaltung'!$B$7:$Z$110,13,FALSE))*E37*F37/182.5))</f>
        <v>0</v>
      </c>
      <c r="W37" s="20">
        <f t="shared" si="0"/>
        <v>0</v>
      </c>
      <c r="X37" s="394">
        <f t="shared" si="8"/>
        <v>0</v>
      </c>
      <c r="Y37" s="394">
        <f>IF(B37="leer",0,(IF(F37&gt;=182.5,0,IF(I37&gt;=182.5,(365-I37-F37)*IF(OR(A37=6,A37=7,A37=8,A37=9,A37=10,A37=101),((0.1*D37+2400)/1000)/182.5,VLOOKUP(B37,'Daten Tierhaltung'!$B$7:$Q$110,16,FALSE)),(182.5-F37)*IF(OR(A37=6,A37=7,A37=8,A37=9,A37=10,A37=101),((0.1*D37+2400)/1000)/182.5,(VLOOKUP(B37,'Daten Tierhaltung'!$B$7:$Q$110,16,FALSE)))))))</f>
        <v>0</v>
      </c>
      <c r="Z37" s="394">
        <f>IF(B37="leer",0,(IF(F37&gt;=182.5,0,IF(I37&gt;=182.5,(365-I37-F37)*IF(OR(A37=6,A37=7,A37=8,A37=9,A37=10,A37=101),((0.1*D37+2400)/1000)/(182.5*2),VLOOKUP(B37,'Daten Tierhaltung'!$B$7:$Q$110,16,FALSE)/2),(182.5-F37)*IF(OR(A37=6,A37=7,A37=8,A37=9,A37=10,A37=101),((0.1*D37+2400)/1000)/(182.5*2),(VLOOKUP(B37,'Daten Tierhaltung'!$B$7:$Z$110,16,FALSE)/2))))))</f>
        <v>0</v>
      </c>
      <c r="AA37" s="394">
        <f t="shared" si="1"/>
        <v>0</v>
      </c>
      <c r="AB37" s="394">
        <f>E37*J37*(F37/365*VLOOKUP(B37,'Daten Tierhaltung'!$B$7:$Z$110,22,FALSE)/100+(G37/365*VLOOKUP(B37,'Daten Tierhaltung'!$B$7:$Z$110,23,FALSE))/100)</f>
        <v>0</v>
      </c>
      <c r="AC37" s="394">
        <f>IF(C37="Abgabe an andere Betriebe",0,IF(C37="in eigene Biogasanlage",(E37*J37*((F37+G37)/365)-AB37)*0.1,IF(C37="auf selbst bewirtschaft. Flächen",(E37*J37*((F37+G37)/365)-AB37)*((F37/365*VLOOKUP(B37,'Daten Tierhaltung'!$B$7:$Z$110,24,FALSE)+(G37+I37)/365*VLOOKUP(B37,'Daten Tierhaltung'!$B$7:$Z$110,25,FALSE))/100),0)))</f>
        <v>0</v>
      </c>
      <c r="AD37" s="394">
        <f t="shared" si="2"/>
        <v>0</v>
      </c>
      <c r="AE37" s="20">
        <f t="shared" si="3"/>
        <v>0</v>
      </c>
      <c r="AF37" s="20">
        <f t="shared" si="4"/>
        <v>0</v>
      </c>
      <c r="AG37" s="20">
        <f t="shared" si="5"/>
        <v>0</v>
      </c>
    </row>
    <row r="38" spans="1:33" s="363" customFormat="1">
      <c r="A38" s="1056">
        <f>VLOOKUP(B38,'Daten Tierhaltung'!$B$7:$Z$108,2,FALSE)</f>
        <v>0</v>
      </c>
      <c r="B38" s="820" t="s">
        <v>163</v>
      </c>
      <c r="C38" s="820" t="s">
        <v>223</v>
      </c>
      <c r="D38" s="821">
        <v>0</v>
      </c>
      <c r="E38" s="821">
        <v>0</v>
      </c>
      <c r="F38" s="757">
        <f t="shared" si="6"/>
        <v>365</v>
      </c>
      <c r="G38" s="821">
        <v>0</v>
      </c>
      <c r="H38" s="820" t="s">
        <v>106</v>
      </c>
      <c r="I38" s="821">
        <v>0</v>
      </c>
      <c r="J38" s="758">
        <f>IF(A38=6,IF(D38&lt;=8000,0.0075*D38+69,0.007*D38+73),IF(A38=7,IF(D38&lt;=8000,0.0075*D38+64,0.0085*D38+56),IF(A38=101,IF(D38&lt;=8000,0.0073*D38+51,0.0085*D38+32),IF(A38=8,IF(D38&lt;=8000,0.007*D38+61,0.009*D38+44.667),IF(A38=9,IF(D38&lt;=8000,0.0075*D38+47,0.009*D38+23),IF(A38=10,IF(D38&lt;=8000,0.0075*D38+45,0.0093*D38+27),IF(A38=11,IF(D38&lt;=7000,0.0075*D38+38.5,0.01*D38+21),IF(A38=51,0.0058*D38+7.0627,IF(A38=52,0.0055*D38+6.8356,IF(A38=53,0.0052*D38+6.0136,VLOOKUP(B38,'Daten Tierhaltung'!$B$7:$J$110,4,FALSE)))))))))))</f>
        <v>0</v>
      </c>
      <c r="K38" s="758">
        <f>IF(A38=6,IF(D38&lt;=8000,0.0035*D38+15,0.002*D38+27),IF(A38=7,IF(D38&lt;=8000,0.003*D38+19,0.0025*D38+23),IF(A38=101,IF(D38&lt;=8000,0.0015*D38+24,0.0015*D38+26),IF(A38=8,IF(D38&lt;=8000,0.0025*D38+22,0.0025*D38+22),IF(A38=9,IF(D38&lt;=8000,0.0015*D38+23,0.0015*D38+24),IF(A38=10,IF(D38&lt;=8000,0.001*D38+27,0.001*D38+31.5),IF(A38=11,IF(D38&lt;=7000,0.002*D38+2.2,0.001*D38+7.5),IF(A38=51,0.0009*D38+4.1288,IF(A38=52,0.0014*D38+3.0932,IF(A38=53,0.0006*D38+3.3542,VLOOKUP(B38,'Daten Tierhaltung'!$B$7:$J$110,5,FALSE)))))))))))</f>
        <v>0</v>
      </c>
      <c r="L38" s="758">
        <f>IF(A38=6,IF(D38&lt;=8000,0.004*D38+110,0.004*D38+110),IF(A38=7,IF(D38&lt;=8000,0.0025*D38+114,0.0045*D38+98),IF(A38=101,IF(D38&lt;=8000,0.0025*D38+98,0.0045*D38+96),IF(A38=8,IF(D38&lt;=8000,0.007*D38+67,0.004*D38+91),IF(A38=9,IF(D38&lt;=8000,0.006*D38+68,0.0045*D38+80),IF(A38=10,IF(D38&lt;=8000,0.006*D38+58,0.0045*D38+80),IF(A38=11,IF(D38&lt;=7000,0.006*D38+54,0.006*D38+54),IF(A38=51,0.0023*D38+3.9271,IF(A38=52,0.0028*D38+3.3915,IF(A38=53,0.0024*D38+3.522,VLOOKUP(B38,'Daten Tierhaltung'!$B$7:$J$110,6,FALSE)))))))))))</f>
        <v>0</v>
      </c>
      <c r="M38" s="758">
        <f t="shared" si="7"/>
        <v>0</v>
      </c>
      <c r="N38" s="758" t="str">
        <f>IF(C38="Abgabe an andere Betriebe",E38*J38*(($F38/365*VLOOKUP(B38,'Daten Tierhaltung'!$B$7:$S$110,17,FALSE))+(($G38/365*VLOOKUP(B38,'Daten Tierhaltung'!$B$7:$S$110,18,FALSE)))),"0")</f>
        <v>0</v>
      </c>
      <c r="O38" s="758">
        <f>IF(C38="auf selbst bewirtschaft. Flächen",E38*J38*(($F38/365*VLOOKUP(B38,'Daten Tierhaltung'!$B$7:$S$110,17,FALSE))+(($G38/365*VLOOKUP(B38,'Daten Tierhaltung'!$B$7:$S$110,18,FALSE)))),"0")</f>
        <v>0</v>
      </c>
      <c r="P38" s="753">
        <f>E38*I38/365*VLOOKUP(B38,'Daten Tierhaltung'!$B$7:$V$110,18,FALSE)*J38</f>
        <v>0</v>
      </c>
      <c r="Q38" s="753" t="str">
        <f>IF(C38="in eigene Biogasanlage",E38*J38*((0.95*F38/365*VLOOKUP(B38,'Daten Tierhaltung'!$B$7:$V$110,17,FALSE))+((0.95*G38/365*VLOOKUP(B38,'Daten Tierhaltung'!$B$7:$V$110,18,FALSE)))),"0")</f>
        <v>0</v>
      </c>
      <c r="R38" s="20">
        <f>E38*IF(A38=6,IF(D38&lt;=8000,0.0015*D38+99,0.001*D38+103),IF(A38=7,IF(D38&lt;=8000,0.0005*D38+95,0.001*D38+91),IF(A38=101,IF(D38&lt;=8000,0.005*D38+56,0.005*D38+56),IF(A38=8,IF(D38&lt;=8000,0.0035*D38+65,0.002*D38+77),IF(A38=9,IF(D38&lt;=8000,0.0035*D38+51,0.003*D38+59),IF(A38=10,IF(D38&lt;=8000,0.0035*D38+50.5,0.0035*D38+56),IF(A38=11,IF(D38&lt;=7000,0.0035*D38+50,0.0025*D38+57.5),VLOOKUP(B38,'Daten Tierhaltung'!$B$7:$J$110,7,FALSE))))))))</f>
        <v>0</v>
      </c>
      <c r="S38" s="20">
        <f>E38*IF(A38=6,IF(D38&lt;=8000,0.0005*D38+30,0.001*D38+26),IF(A38=7,IF(D38&lt;=8000,0.0005*D38+28,0.0005*D38+28),IF(A38=101,IF(D38&lt;=8000,0.0015*D38+18.5,0.0015*D38+19.5),IF(A38=8,IF(D38&lt;=8000,0.0015*D38+19,0.0008*D38+25),IF(A38=9,IF(D38&lt;=8000,0.0015*D38+17,0.0015*D38+17.5),IF(A38=10,IF(D38&lt;=8000,0.001*D38+18.3,0.001*D38+20.4),IF(A38=11,IF(D38&lt;=7000,0.0013*D38+15,0.0013*D38+15.75),VLOOKUP(B38,'Daten Tierhaltung'!$B$7:$J$110,8,FALSE))))))))</f>
        <v>0</v>
      </c>
      <c r="T38" s="20">
        <f>E38*IF(A38=6,IF(D38&lt;=8000,0.002*D38+115,0.0015*D38+119),IF(A38=7,IF(D38&lt;=8000,0.0005*D38+118,0.001*D38+114),IF(A38=101,IF(D38&lt;=8000,0.0005*D38+76,0.001*D38+80),IF(A38=8,IF(D38&lt;=8000,0.004*D38+75,0.003*D38+83),IF(A38=9,IF(D38&lt;=8000,0.004*D38+69,0.0028*D38+79),IF(A38=10,IF(D38&lt;=8000,0.004*D38+60,0.0028*D38+75),IF(A38=11,IF(D38&lt;=7000,0.0045*D38+55,0.0025*D38+69.5),VLOOKUP(B38,'Daten Tierhaltung'!$B$7:$J$110,9,FALSE))))))))</f>
        <v>0</v>
      </c>
      <c r="U38" s="20">
        <f>IF(B38="leer",0,IF(G38&gt;60.8333,(IF(OR(A38=6,A38=7,A38=8,A38=9, A38=10, A38=101),IF(D38&lt;8000,(0.15*D38+6300)/1000,(0.25*D38+5500)/1000),IF(A38=11,(0.25*D38+5650)/1000,VLOOKUP(B38,'Daten Tierhaltung'!$B$7:$Q$110,11,FALSE))))*1/3*Tierhaltung!E38,IF(OR(A38=6,A38=7,A38=8,A38=9, A38=10,A38=101),(0.15*D38+6300)/1000,IF(A38=11,(0.25*D38+5650)/1000,VLOOKUP(B38,'Daten Tierhaltung'!$B$7:$Z$110,11,FALSE)))*G38*E38/182.5))</f>
        <v>0</v>
      </c>
      <c r="V38" s="20">
        <f>IF(B38="leer",0,IF(F38&gt;182.5,IF(OR(A38=6,A38=7,A38=8,A38=9,A38=10,A38=101),(0.25*D38+8000)/1000,VLOOKUP(B38,'Daten Tierhaltung'!$B$7:$Q$81,13,FALSE))*E38,IF(OR(A38=6,A38=7,A38=8,A38=9,A38=10,A38=101),(0.25*D38+8000)/1000,VLOOKUP(B38,'Daten Tierhaltung'!$B$7:$Z$110,13,FALSE))*E38*F38/182.5))</f>
        <v>0</v>
      </c>
      <c r="W38" s="20">
        <f t="shared" si="0"/>
        <v>0</v>
      </c>
      <c r="X38" s="394">
        <f t="shared" si="8"/>
        <v>0</v>
      </c>
      <c r="Y38" s="394">
        <f>IF(B38="leer",0,(IF(F38&gt;=182.5,0,IF(I38&gt;=182.5,(365-I38-F38)*IF(OR(A38=6,A38=7,A38=8,A38=9,A38=10,A38=101),((0.1*D38+2400)/1000)/182.5,VLOOKUP(B38,'Daten Tierhaltung'!$B$7:$Q$110,16,FALSE)),(182.5-F38)*IF(OR(A38=6,A38=7,A38=8,A38=9,A38=10,A38=101),((0.1*D38+2400)/1000)/182.5,(VLOOKUP(B38,'Daten Tierhaltung'!$B$7:$Q$110,16,FALSE)))))))</f>
        <v>0</v>
      </c>
      <c r="Z38" s="394">
        <f>IF(B38="leer",0,(IF(F38&gt;=182.5,0,IF(I38&gt;=182.5,(365-I38-F38)*IF(OR(A38=6,A38=7,A38=8,A38=9,A38=10,A38=101),((0.1*D38+2400)/1000)/(182.5*2),VLOOKUP(B38,'Daten Tierhaltung'!$B$7:$Q$110,16,FALSE)/2),(182.5-F38)*IF(OR(A38=6,A38=7,A38=8,A38=9,A38=10,A38=101),((0.1*D38+2400)/1000)/(182.5*2),(VLOOKUP(B38,'Daten Tierhaltung'!$B$7:$Z$110,16,FALSE)/2))))))</f>
        <v>0</v>
      </c>
      <c r="AA38" s="394">
        <f t="shared" si="1"/>
        <v>0</v>
      </c>
      <c r="AB38" s="394">
        <f>E38*J38*(F38/365*VLOOKUP(B38,'Daten Tierhaltung'!$B$7:$Z$110,22,FALSE)/100+(G38/365*VLOOKUP(B38,'Daten Tierhaltung'!$B$7:$Z$110,23,FALSE))/100)</f>
        <v>0</v>
      </c>
      <c r="AC38" s="394">
        <f>IF(C38="Abgabe an andere Betriebe",0,IF(C38="in eigene Biogasanlage",(E38*J38*((F38+G38)/365)-AB38)*0.1,IF(C38="auf selbst bewirtschaft. Flächen",(E38*J38*((F38+G38)/365)-AB38)*((F38/365*VLOOKUP(B38,'Daten Tierhaltung'!$B$7:$Z$110,24,FALSE)+(G38+I38)/365*VLOOKUP(B38,'Daten Tierhaltung'!$B$7:$Z$110,25,FALSE))/100),0)))</f>
        <v>0</v>
      </c>
      <c r="AD38" s="394">
        <f t="shared" si="2"/>
        <v>0</v>
      </c>
      <c r="AE38" s="20">
        <f t="shared" si="3"/>
        <v>0</v>
      </c>
      <c r="AF38" s="20">
        <f t="shared" si="4"/>
        <v>0</v>
      </c>
      <c r="AG38" s="20">
        <f t="shared" si="5"/>
        <v>0</v>
      </c>
    </row>
    <row r="39" spans="1:33" s="363" customFormat="1">
      <c r="A39" s="1056">
        <f>VLOOKUP(B39,'Daten Tierhaltung'!$B$7:$Z$108,2,FALSE)</f>
        <v>0</v>
      </c>
      <c r="B39" s="820" t="s">
        <v>163</v>
      </c>
      <c r="C39" s="820" t="s">
        <v>223</v>
      </c>
      <c r="D39" s="821">
        <v>0</v>
      </c>
      <c r="E39" s="821">
        <v>0</v>
      </c>
      <c r="F39" s="757">
        <f t="shared" si="6"/>
        <v>365</v>
      </c>
      <c r="G39" s="821">
        <v>0</v>
      </c>
      <c r="H39" s="820" t="s">
        <v>106</v>
      </c>
      <c r="I39" s="821">
        <v>0</v>
      </c>
      <c r="J39" s="758">
        <f>IF(A39=6,IF(D39&lt;=8000,0.0075*D39+69,0.007*D39+73),IF(A39=7,IF(D39&lt;=8000,0.0075*D39+64,0.0085*D39+56),IF(A39=101,IF(D39&lt;=8000,0.0073*D39+51,0.0085*D39+32),IF(A39=8,IF(D39&lt;=8000,0.007*D39+61,0.009*D39+44.667),IF(A39=9,IF(D39&lt;=8000,0.0075*D39+47,0.009*D39+23),IF(A39=10,IF(D39&lt;=8000,0.0075*D39+45,0.0093*D39+27),IF(A39=11,IF(D39&lt;=7000,0.0075*D39+38.5,0.01*D39+21),IF(A39=51,0.0058*D39+7.0627,IF(A39=52,0.0055*D39+6.8356,IF(A39=53,0.0052*D39+6.0136,VLOOKUP(B39,'Daten Tierhaltung'!$B$7:$J$110,4,FALSE)))))))))))</f>
        <v>0</v>
      </c>
      <c r="K39" s="758">
        <f>IF(A39=6,IF(D39&lt;=8000,0.0035*D39+15,0.002*D39+27),IF(A39=7,IF(D39&lt;=8000,0.003*D39+19,0.0025*D39+23),IF(A39=101,IF(D39&lt;=8000,0.0015*D39+24,0.0015*D39+26),IF(A39=8,IF(D39&lt;=8000,0.0025*D39+22,0.0025*D39+22),IF(A39=9,IF(D39&lt;=8000,0.0015*D39+23,0.0015*D39+24),IF(A39=10,IF(D39&lt;=8000,0.001*D39+27,0.001*D39+31.5),IF(A39=11,IF(D39&lt;=7000,0.002*D39+2.2,0.001*D39+7.5),IF(A39=51,0.0009*D39+4.1288,IF(A39=52,0.0014*D39+3.0932,IF(A39=53,0.0006*D39+3.3542,VLOOKUP(B39,'Daten Tierhaltung'!$B$7:$J$110,5,FALSE)))))))))))</f>
        <v>0</v>
      </c>
      <c r="L39" s="758">
        <f>IF(A39=6,IF(D39&lt;=8000,0.004*D39+110,0.004*D39+110),IF(A39=7,IF(D39&lt;=8000,0.0025*D39+114,0.0045*D39+98),IF(A39=101,IF(D39&lt;=8000,0.0025*D39+98,0.0045*D39+96),IF(A39=8,IF(D39&lt;=8000,0.007*D39+67,0.004*D39+91),IF(A39=9,IF(D39&lt;=8000,0.006*D39+68,0.0045*D39+80),IF(A39=10,IF(D39&lt;=8000,0.006*D39+58,0.0045*D39+80),IF(A39=11,IF(D39&lt;=7000,0.006*D39+54,0.006*D39+54),IF(A39=51,0.0023*D39+3.9271,IF(A39=52,0.0028*D39+3.3915,IF(A39=53,0.0024*D39+3.522,VLOOKUP(B39,'Daten Tierhaltung'!$B$7:$J$110,6,FALSE)))))))))))</f>
        <v>0</v>
      </c>
      <c r="M39" s="758">
        <f t="shared" si="7"/>
        <v>0</v>
      </c>
      <c r="N39" s="758" t="str">
        <f>IF(C39="Abgabe an andere Betriebe",E39*J39*(($F39/365*VLOOKUP(B39,'Daten Tierhaltung'!$B$7:$S$110,17,FALSE))+(($G39/365*VLOOKUP(B39,'Daten Tierhaltung'!$B$7:$S$110,18,FALSE)))),"0")</f>
        <v>0</v>
      </c>
      <c r="O39" s="758">
        <f>IF(C39="auf selbst bewirtschaft. Flächen",E39*J39*(($F39/365*VLOOKUP(B39,'Daten Tierhaltung'!$B$7:$S$110,17,FALSE))+(($G39/365*VLOOKUP(B39,'Daten Tierhaltung'!$B$7:$S$110,18,FALSE)))),"0")</f>
        <v>0</v>
      </c>
      <c r="P39" s="753">
        <f>E39*I39/365*VLOOKUP(B39,'Daten Tierhaltung'!$B$7:$V$110,18,FALSE)*J39</f>
        <v>0</v>
      </c>
      <c r="Q39" s="753" t="str">
        <f>IF(C39="in eigene Biogasanlage",E39*J39*((0.95*F39/365*VLOOKUP(B39,'Daten Tierhaltung'!$B$7:$V$110,17,FALSE))+((0.95*G39/365*VLOOKUP(B39,'Daten Tierhaltung'!$B$7:$V$110,18,FALSE)))),"0")</f>
        <v>0</v>
      </c>
      <c r="R39" s="20">
        <f>E39*IF(A39=6,IF(D39&lt;=8000,0.0015*D39+99,0.001*D39+103),IF(A39=7,IF(D39&lt;=8000,0.0005*D39+95,0.001*D39+91),IF(A39=101,IF(D39&lt;=8000,0.005*D39+56,0.005*D39+56),IF(A39=8,IF(D39&lt;=8000,0.0035*D39+65,0.002*D39+77),IF(A39=9,IF(D39&lt;=8000,0.0035*D39+51,0.003*D39+59),IF(A39=10,IF(D39&lt;=8000,0.0035*D39+50.5,0.0035*D39+56),IF(A39=11,IF(D39&lt;=7000,0.0035*D39+50,0.0025*D39+57.5),VLOOKUP(B39,'Daten Tierhaltung'!$B$7:$J$110,7,FALSE))))))))</f>
        <v>0</v>
      </c>
      <c r="S39" s="20">
        <f>E39*IF(A39=6,IF(D39&lt;=8000,0.0005*D39+30,0.001*D39+26),IF(A39=7,IF(D39&lt;=8000,0.0005*D39+28,0.0005*D39+28),IF(A39=101,IF(D39&lt;=8000,0.0015*D39+18.5,0.0015*D39+19.5),IF(A39=8,IF(D39&lt;=8000,0.0015*D39+19,0.0008*D39+25),IF(A39=9,IF(D39&lt;=8000,0.0015*D39+17,0.0015*D39+17.5),IF(A39=10,IF(D39&lt;=8000,0.001*D39+18.3,0.001*D39+20.4),IF(A39=11,IF(D39&lt;=7000,0.0013*D39+15,0.0013*D39+15.75),VLOOKUP(B39,'Daten Tierhaltung'!$B$7:$J$110,8,FALSE))))))))</f>
        <v>0</v>
      </c>
      <c r="T39" s="20">
        <f>E39*IF(A39=6,IF(D39&lt;=8000,0.002*D39+115,0.0015*D39+119),IF(A39=7,IF(D39&lt;=8000,0.0005*D39+118,0.001*D39+114),IF(A39=101,IF(D39&lt;=8000,0.0005*D39+76,0.001*D39+80),IF(A39=8,IF(D39&lt;=8000,0.004*D39+75,0.003*D39+83),IF(A39=9,IF(D39&lt;=8000,0.004*D39+69,0.0028*D39+79),IF(A39=10,IF(D39&lt;=8000,0.004*D39+60,0.0028*D39+75),IF(A39=11,IF(D39&lt;=7000,0.0045*D39+55,0.0025*D39+69.5),VLOOKUP(B39,'Daten Tierhaltung'!$B$7:$J$110,9,FALSE))))))))</f>
        <v>0</v>
      </c>
      <c r="U39" s="20">
        <f>IF(B39="leer",0,IF(G39&gt;60.8333,(IF(OR(A39=6,A39=7,A39=8,A39=9, A39=10, A39=101),IF(D39&lt;8000,(0.15*D39+6300)/1000,(0.25*D39+5500)/1000),IF(A39=11,(0.25*D39+5650)/1000,VLOOKUP(B39,'Daten Tierhaltung'!$B$7:$Q$110,11,FALSE))))*1/3*Tierhaltung!E39,IF(OR(A39=6,A39=7,A39=8,A39=9, A39=10,A39=101),(0.15*D39+6300)/1000,IF(A39=11,(0.25*D39+5650)/1000,VLOOKUP(B39,'Daten Tierhaltung'!$B$7:$Z$110,11,FALSE)))*G39*E39/182.5))</f>
        <v>0</v>
      </c>
      <c r="V39" s="20">
        <f>IF(B39="leer",0,IF(F39&gt;182.5,IF(OR(A39=6,A39=7,A39=8,A39=9,A39=10,A39=101),(0.25*D39+8000)/1000,VLOOKUP(B39,'Daten Tierhaltung'!$B$7:$Q$81,13,FALSE))*E39,IF(OR(A39=6,A39=7,A39=8,A39=9,A39=10,A39=101),(0.25*D39+8000)/1000,VLOOKUP(B39,'Daten Tierhaltung'!$B$7:$Z$110,13,FALSE))*E39*F39/182.5))</f>
        <v>0</v>
      </c>
      <c r="W39" s="20">
        <f t="shared" si="0"/>
        <v>0</v>
      </c>
      <c r="X39" s="394">
        <f t="shared" si="8"/>
        <v>0</v>
      </c>
      <c r="Y39" s="394">
        <f>IF(B39="leer",0,(IF(F39&gt;=182.5,0,IF(I39&gt;=182.5,(365-I39-F39)*IF(OR(A39=6,A39=7,A39=8,A39=9,A39=10,A39=101),((0.1*D39+2400)/1000)/182.5,VLOOKUP(B39,'Daten Tierhaltung'!$B$7:$Q$110,16,FALSE)),(182.5-F39)*IF(OR(A39=6,A39=7,A39=8,A39=9,A39=10,A39=101),((0.1*D39+2400)/1000)/182.5,(VLOOKUP(B39,'Daten Tierhaltung'!$B$7:$Q$110,16,FALSE)))))))</f>
        <v>0</v>
      </c>
      <c r="Z39" s="394">
        <f>IF(B39="leer",0,(IF(F39&gt;=182.5,0,IF(I39&gt;=182.5,(365-I39-F39)*IF(OR(A39=6,A39=7,A39=8,A39=9,A39=10,A39=101),((0.1*D39+2400)/1000)/(182.5*2),VLOOKUP(B39,'Daten Tierhaltung'!$B$7:$Q$110,16,FALSE)/2),(182.5-F39)*IF(OR(A39=6,A39=7,A39=8,A39=9,A39=10,A39=101),((0.1*D39+2400)/1000)/(182.5*2),(VLOOKUP(B39,'Daten Tierhaltung'!$B$7:$Z$110,16,FALSE)/2))))))</f>
        <v>0</v>
      </c>
      <c r="AA39" s="394">
        <f t="shared" si="1"/>
        <v>0</v>
      </c>
      <c r="AB39" s="394">
        <f>E39*J39*(F39/365*VLOOKUP(B39,'Daten Tierhaltung'!$B$7:$Z$110,22,FALSE)/100+(G39/365*VLOOKUP(B39,'Daten Tierhaltung'!$B$7:$Z$110,23,FALSE))/100)</f>
        <v>0</v>
      </c>
      <c r="AC39" s="394">
        <f>IF(C39="Abgabe an andere Betriebe",0,IF(C39="in eigene Biogasanlage",(E39*J39*((F39+G39)/365)-AB39)*0.1,IF(C39="auf selbst bewirtschaft. Flächen",(E39*J39*((F39+G39)/365)-AB39)*((F39/365*VLOOKUP(B39,'Daten Tierhaltung'!$B$7:$Z$110,24,FALSE)+(G39+I39)/365*VLOOKUP(B39,'Daten Tierhaltung'!$B$7:$Z$110,25,FALSE))/100),0)))</f>
        <v>0</v>
      </c>
      <c r="AD39" s="394">
        <f t="shared" si="2"/>
        <v>0</v>
      </c>
      <c r="AE39" s="20">
        <f t="shared" si="3"/>
        <v>0</v>
      </c>
      <c r="AF39" s="20">
        <f t="shared" si="4"/>
        <v>0</v>
      </c>
      <c r="AG39" s="20">
        <f t="shared" si="5"/>
        <v>0</v>
      </c>
    </row>
    <row r="40" spans="1:33" s="363" customFormat="1">
      <c r="A40" s="1056">
        <f>VLOOKUP(B40,'Daten Tierhaltung'!$B$7:$Z$108,2,FALSE)</f>
        <v>0</v>
      </c>
      <c r="B40" s="820" t="s">
        <v>163</v>
      </c>
      <c r="C40" s="820" t="s">
        <v>223</v>
      </c>
      <c r="D40" s="821">
        <v>0</v>
      </c>
      <c r="E40" s="821">
        <v>0</v>
      </c>
      <c r="F40" s="757">
        <f t="shared" si="6"/>
        <v>365</v>
      </c>
      <c r="G40" s="821">
        <v>0</v>
      </c>
      <c r="H40" s="820" t="s">
        <v>106</v>
      </c>
      <c r="I40" s="821">
        <v>0</v>
      </c>
      <c r="J40" s="758">
        <f>IF(A40=6,IF(D40&lt;=8000,0.0075*D40+69,0.007*D40+73),IF(A40=7,IF(D40&lt;=8000,0.0075*D40+64,0.0085*D40+56),IF(A40=101,IF(D40&lt;=8000,0.0073*D40+51,0.0085*D40+32),IF(A40=8,IF(D40&lt;=8000,0.007*D40+61,0.009*D40+44.667),IF(A40=9,IF(D40&lt;=8000,0.0075*D40+47,0.009*D40+23),IF(A40=10,IF(D40&lt;=8000,0.0075*D40+45,0.0093*D40+27),IF(A40=11,IF(D40&lt;=7000,0.0075*D40+38.5,0.01*D40+21),IF(A40=51,0.0058*D40+7.0627,IF(A40=52,0.0055*D40+6.8356,IF(A40=53,0.0052*D40+6.0136,VLOOKUP(B40,'Daten Tierhaltung'!$B$7:$J$110,4,FALSE)))))))))))</f>
        <v>0</v>
      </c>
      <c r="K40" s="758">
        <f>IF(A40=6,IF(D40&lt;=8000,0.0035*D40+15,0.002*D40+27),IF(A40=7,IF(D40&lt;=8000,0.003*D40+19,0.0025*D40+23),IF(A40=101,IF(D40&lt;=8000,0.0015*D40+24,0.0015*D40+26),IF(A40=8,IF(D40&lt;=8000,0.0025*D40+22,0.0025*D40+22),IF(A40=9,IF(D40&lt;=8000,0.0015*D40+23,0.0015*D40+24),IF(A40=10,IF(D40&lt;=8000,0.001*D40+27,0.001*D40+31.5),IF(A40=11,IF(D40&lt;=7000,0.002*D40+2.2,0.001*D40+7.5),IF(A40=51,0.0009*D40+4.1288,IF(A40=52,0.0014*D40+3.0932,IF(A40=53,0.0006*D40+3.3542,VLOOKUP(B40,'Daten Tierhaltung'!$B$7:$J$110,5,FALSE)))))))))))</f>
        <v>0</v>
      </c>
      <c r="L40" s="758">
        <f>IF(A40=6,IF(D40&lt;=8000,0.004*D40+110,0.004*D40+110),IF(A40=7,IF(D40&lt;=8000,0.0025*D40+114,0.0045*D40+98),IF(A40=101,IF(D40&lt;=8000,0.0025*D40+98,0.0045*D40+96),IF(A40=8,IF(D40&lt;=8000,0.007*D40+67,0.004*D40+91),IF(A40=9,IF(D40&lt;=8000,0.006*D40+68,0.0045*D40+80),IF(A40=10,IF(D40&lt;=8000,0.006*D40+58,0.0045*D40+80),IF(A40=11,IF(D40&lt;=7000,0.006*D40+54,0.006*D40+54),IF(A40=51,0.0023*D40+3.9271,IF(A40=52,0.0028*D40+3.3915,IF(A40=53,0.0024*D40+3.522,VLOOKUP(B40,'Daten Tierhaltung'!$B$7:$J$110,6,FALSE)))))))))))</f>
        <v>0</v>
      </c>
      <c r="M40" s="758">
        <f t="shared" si="7"/>
        <v>0</v>
      </c>
      <c r="N40" s="758" t="str">
        <f>IF(C40="Abgabe an andere Betriebe",E40*J40*(($F40/365*VLOOKUP(B40,'Daten Tierhaltung'!$B$7:$S$110,17,FALSE))+(($G40/365*VLOOKUP(B40,'Daten Tierhaltung'!$B$7:$S$110,18,FALSE)))),"0")</f>
        <v>0</v>
      </c>
      <c r="O40" s="758">
        <f>IF(C40="auf selbst bewirtschaft. Flächen",E40*J40*(($F40/365*VLOOKUP(B40,'Daten Tierhaltung'!$B$7:$S$110,17,FALSE))+(($G40/365*VLOOKUP(B40,'Daten Tierhaltung'!$B$7:$S$110,18,FALSE)))),"0")</f>
        <v>0</v>
      </c>
      <c r="P40" s="753">
        <f>E40*I40/365*VLOOKUP(B40,'Daten Tierhaltung'!$B$7:$V$110,18,FALSE)*J40</f>
        <v>0</v>
      </c>
      <c r="Q40" s="753" t="str">
        <f>IF(C40="in eigene Biogasanlage",E40*J40*((0.95*F40/365*VLOOKUP(B40,'Daten Tierhaltung'!$B$7:$V$110,17,FALSE))+((0.95*G40/365*VLOOKUP(B40,'Daten Tierhaltung'!$B$7:$V$110,18,FALSE)))),"0")</f>
        <v>0</v>
      </c>
      <c r="R40" s="20">
        <f>E40*IF(A40=6,IF(D40&lt;=8000,0.0015*D40+99,0.001*D40+103),IF(A40=7,IF(D40&lt;=8000,0.0005*D40+95,0.001*D40+91),IF(A40=101,IF(D40&lt;=8000,0.005*D40+56,0.005*D40+56),IF(A40=8,IF(D40&lt;=8000,0.0035*D40+65,0.002*D40+77),IF(A40=9,IF(D40&lt;=8000,0.0035*D40+51,0.003*D40+59),IF(A40=10,IF(D40&lt;=8000,0.0035*D40+50.5,0.0035*D40+56),IF(A40=11,IF(D40&lt;=7000,0.0035*D40+50,0.0025*D40+57.5),VLOOKUP(B40,'Daten Tierhaltung'!$B$7:$J$110,7,FALSE))))))))</f>
        <v>0</v>
      </c>
      <c r="S40" s="20">
        <f>E40*IF(A40=6,IF(D40&lt;=8000,0.0005*D40+30,0.001*D40+26),IF(A40=7,IF(D40&lt;=8000,0.0005*D40+28,0.0005*D40+28),IF(A40=101,IF(D40&lt;=8000,0.0015*D40+18.5,0.0015*D40+19.5),IF(A40=8,IF(D40&lt;=8000,0.0015*D40+19,0.0008*D40+25),IF(A40=9,IF(D40&lt;=8000,0.0015*D40+17,0.0015*D40+17.5),IF(A40=10,IF(D40&lt;=8000,0.001*D40+18.3,0.001*D40+20.4),IF(A40=11,IF(D40&lt;=7000,0.0013*D40+15,0.0013*D40+15.75),VLOOKUP(B40,'Daten Tierhaltung'!$B$7:$J$110,8,FALSE))))))))</f>
        <v>0</v>
      </c>
      <c r="T40" s="20">
        <f>E40*IF(A40=6,IF(D40&lt;=8000,0.002*D40+115,0.0015*D40+119),IF(A40=7,IF(D40&lt;=8000,0.0005*D40+118,0.001*D40+114),IF(A40=101,IF(D40&lt;=8000,0.0005*D40+76,0.001*D40+80),IF(A40=8,IF(D40&lt;=8000,0.004*D40+75,0.003*D40+83),IF(A40=9,IF(D40&lt;=8000,0.004*D40+69,0.0028*D40+79),IF(A40=10,IF(D40&lt;=8000,0.004*D40+60,0.0028*D40+75),IF(A40=11,IF(D40&lt;=7000,0.0045*D40+55,0.0025*D40+69.5),VLOOKUP(B40,'Daten Tierhaltung'!$B$7:$J$110,9,FALSE))))))))</f>
        <v>0</v>
      </c>
      <c r="U40" s="20">
        <f>IF(B40="leer",0,IF(G40&gt;60.8333,(IF(OR(A40=6,A40=7,A40=8,A40=9, A40=10, A40=101),IF(D40&lt;8000,(0.15*D40+6300)/1000,(0.25*D40+5500)/1000),IF(A40=11,(0.25*D40+5650)/1000,VLOOKUP(B40,'Daten Tierhaltung'!$B$7:$Q$110,11,FALSE))))*1/3*Tierhaltung!E40,IF(OR(A40=6,A40=7,A40=8,A40=9, A40=10,A40=101),(0.15*D40+6300)/1000,IF(A40=11,(0.25*D40+5650)/1000,VLOOKUP(B40,'Daten Tierhaltung'!$B$7:$Z$110,11,FALSE)))*G40*E40/182.5))</f>
        <v>0</v>
      </c>
      <c r="V40" s="20">
        <f>IF(B40="leer",0,IF(F40&gt;182.5,IF(OR(A40=6,A40=7,A40=8,A40=9,A40=10,A40=101),(0.25*D40+8000)/1000,VLOOKUP(B40,'Daten Tierhaltung'!$B$7:$Q$81,13,FALSE))*E40,IF(OR(A40=6,A40=7,A40=8,A40=9,A40=10,A40=101),(0.25*D40+8000)/1000,VLOOKUP(B40,'Daten Tierhaltung'!$B$7:$Z$110,13,FALSE))*E40*F40/182.5))</f>
        <v>0</v>
      </c>
      <c r="W40" s="20">
        <f t="shared" si="0"/>
        <v>0</v>
      </c>
      <c r="X40" s="394">
        <f t="shared" si="8"/>
        <v>0</v>
      </c>
      <c r="Y40" s="394">
        <f>IF(B40="leer",0,(IF(F40&gt;=182.5,0,IF(I40&gt;=182.5,(365-I40-F40)*IF(OR(A40=6,A40=7,A40=8,A40=9,A40=10,A40=101),((0.1*D40+2400)/1000)/182.5,VLOOKUP(B40,'Daten Tierhaltung'!$B$7:$Q$110,16,FALSE)),(182.5-F40)*IF(OR(A40=6,A40=7,A40=8,A40=9,A40=10,A40=101),((0.1*D40+2400)/1000)/182.5,(VLOOKUP(B40,'Daten Tierhaltung'!$B$7:$Q$110,16,FALSE)))))))</f>
        <v>0</v>
      </c>
      <c r="Z40" s="394">
        <f>IF(B40="leer",0,(IF(F40&gt;=182.5,0,IF(I40&gt;=182.5,(365-I40-F40)*IF(OR(A40=6,A40=7,A40=8,A40=9,A40=10,A40=101),((0.1*D40+2400)/1000)/(182.5*2),VLOOKUP(B40,'Daten Tierhaltung'!$B$7:$Q$110,16,FALSE)/2),(182.5-F40)*IF(OR(A40=6,A40=7,A40=8,A40=9,A40=10,A40=101),((0.1*D40+2400)/1000)/(182.5*2),(VLOOKUP(B40,'Daten Tierhaltung'!$B$7:$Z$110,16,FALSE)/2))))))</f>
        <v>0</v>
      </c>
      <c r="AA40" s="394">
        <f t="shared" si="1"/>
        <v>0</v>
      </c>
      <c r="AB40" s="394">
        <f>E40*J40*(F40/365*VLOOKUP(B40,'Daten Tierhaltung'!$B$7:$Z$110,22,FALSE)/100+(G40/365*VLOOKUP(B40,'Daten Tierhaltung'!$B$7:$Z$110,23,FALSE))/100)</f>
        <v>0</v>
      </c>
      <c r="AC40" s="394">
        <f>IF(C40="Abgabe an andere Betriebe",0,IF(C40="in eigene Biogasanlage",(E40*J40*((F40+G40)/365)-AB40)*0.1,IF(C40="auf selbst bewirtschaft. Flächen",(E40*J40*((F40+G40)/365)-AB40)*((F40/365*VLOOKUP(B40,'Daten Tierhaltung'!$B$7:$Z$110,24,FALSE)+(G40+I40)/365*VLOOKUP(B40,'Daten Tierhaltung'!$B$7:$Z$110,25,FALSE))/100),0)))</f>
        <v>0</v>
      </c>
      <c r="AD40" s="394">
        <f t="shared" si="2"/>
        <v>0</v>
      </c>
      <c r="AE40" s="20">
        <f t="shared" si="3"/>
        <v>0</v>
      </c>
      <c r="AF40" s="20">
        <f t="shared" si="4"/>
        <v>0</v>
      </c>
      <c r="AG40" s="20">
        <f t="shared" si="5"/>
        <v>0</v>
      </c>
    </row>
    <row r="41" spans="1:33" s="363" customFormat="1">
      <c r="A41" s="1056">
        <f>VLOOKUP(B41,'Daten Tierhaltung'!$B$7:$Z$108,2,FALSE)</f>
        <v>0</v>
      </c>
      <c r="B41" s="820" t="s">
        <v>163</v>
      </c>
      <c r="C41" s="820" t="s">
        <v>223</v>
      </c>
      <c r="D41" s="821">
        <v>0</v>
      </c>
      <c r="E41" s="821">
        <v>0</v>
      </c>
      <c r="F41" s="757">
        <f t="shared" si="6"/>
        <v>365</v>
      </c>
      <c r="G41" s="821">
        <v>0</v>
      </c>
      <c r="H41" s="820" t="s">
        <v>106</v>
      </c>
      <c r="I41" s="821">
        <v>0</v>
      </c>
      <c r="J41" s="758">
        <f>IF(A41=6,IF(D41&lt;=8000,0.0075*D41+69,0.007*D41+73),IF(A41=7,IF(D41&lt;=8000,0.0075*D41+64,0.0085*D41+56),IF(A41=101,IF(D41&lt;=8000,0.0073*D41+51,0.0085*D41+32),IF(A41=8,IF(D41&lt;=8000,0.007*D41+61,0.009*D41+44.667),IF(A41=9,IF(D41&lt;=8000,0.0075*D41+47,0.009*D41+23),IF(A41=10,IF(D41&lt;=8000,0.0075*D41+45,0.0093*D41+27),IF(A41=11,IF(D41&lt;=7000,0.0075*D41+38.5,0.01*D41+21),IF(A41=51,0.0058*D41+7.0627,IF(A41=52,0.0055*D41+6.8356,IF(A41=53,0.0052*D41+6.0136,VLOOKUP(B41,'Daten Tierhaltung'!$B$7:$J$110,4,FALSE)))))))))))</f>
        <v>0</v>
      </c>
      <c r="K41" s="758">
        <f>IF(A41=6,IF(D41&lt;=8000,0.0035*D41+15,0.002*D41+27),IF(A41=7,IF(D41&lt;=8000,0.003*D41+19,0.0025*D41+23),IF(A41=101,IF(D41&lt;=8000,0.0015*D41+24,0.0015*D41+26),IF(A41=8,IF(D41&lt;=8000,0.0025*D41+22,0.0025*D41+22),IF(A41=9,IF(D41&lt;=8000,0.0015*D41+23,0.0015*D41+24),IF(A41=10,IF(D41&lt;=8000,0.001*D41+27,0.001*D41+31.5),IF(A41=11,IF(D41&lt;=7000,0.002*D41+2.2,0.001*D41+7.5),IF(A41=51,0.0009*D41+4.1288,IF(A41=52,0.0014*D41+3.0932,IF(A41=53,0.0006*D41+3.3542,VLOOKUP(B41,'Daten Tierhaltung'!$B$7:$J$110,5,FALSE)))))))))))</f>
        <v>0</v>
      </c>
      <c r="L41" s="758">
        <f>IF(A41=6,IF(D41&lt;=8000,0.004*D41+110,0.004*D41+110),IF(A41=7,IF(D41&lt;=8000,0.0025*D41+114,0.0045*D41+98),IF(A41=101,IF(D41&lt;=8000,0.0025*D41+98,0.0045*D41+96),IF(A41=8,IF(D41&lt;=8000,0.007*D41+67,0.004*D41+91),IF(A41=9,IF(D41&lt;=8000,0.006*D41+68,0.0045*D41+80),IF(A41=10,IF(D41&lt;=8000,0.006*D41+58,0.0045*D41+80),IF(A41=11,IF(D41&lt;=7000,0.006*D41+54,0.006*D41+54),IF(A41=51,0.0023*D41+3.9271,IF(A41=52,0.0028*D41+3.3915,IF(A41=53,0.0024*D41+3.522,VLOOKUP(B41,'Daten Tierhaltung'!$B$7:$J$110,6,FALSE)))))))))))</f>
        <v>0</v>
      </c>
      <c r="M41" s="758">
        <f t="shared" si="7"/>
        <v>0</v>
      </c>
      <c r="N41" s="758" t="str">
        <f>IF(C41="Abgabe an andere Betriebe",E41*J41*(($F41/365*VLOOKUP(B41,'Daten Tierhaltung'!$B$7:$S$110,17,FALSE))+(($G41/365*VLOOKUP(B41,'Daten Tierhaltung'!$B$7:$S$110,18,FALSE)))),"0")</f>
        <v>0</v>
      </c>
      <c r="O41" s="758">
        <f>IF(C41="auf selbst bewirtschaft. Flächen",E41*J41*(($F41/365*VLOOKUP(B41,'Daten Tierhaltung'!$B$7:$S$110,17,FALSE))+(($G41/365*VLOOKUP(B41,'Daten Tierhaltung'!$B$7:$S$110,18,FALSE)))),"0")</f>
        <v>0</v>
      </c>
      <c r="P41" s="753">
        <f>E41*I41/365*VLOOKUP(B41,'Daten Tierhaltung'!$B$7:$V$110,18,FALSE)*J41</f>
        <v>0</v>
      </c>
      <c r="Q41" s="753" t="str">
        <f>IF(C41="in eigene Biogasanlage",E41*J41*((0.95*F41/365*VLOOKUP(B41,'Daten Tierhaltung'!$B$7:$V$110,17,FALSE))+((0.95*G41/365*VLOOKUP(B41,'Daten Tierhaltung'!$B$7:$V$110,18,FALSE)))),"0")</f>
        <v>0</v>
      </c>
      <c r="R41" s="20">
        <f>E41*IF(A41=6,IF(D41&lt;=8000,0.0015*D41+99,0.001*D41+103),IF(A41=7,IF(D41&lt;=8000,0.0005*D41+95,0.001*D41+91),IF(A41=101,IF(D41&lt;=8000,0.005*D41+56,0.005*D41+56),IF(A41=8,IF(D41&lt;=8000,0.0035*D41+65,0.002*D41+77),IF(A41=9,IF(D41&lt;=8000,0.0035*D41+51,0.003*D41+59),IF(A41=10,IF(D41&lt;=8000,0.0035*D41+50.5,0.0035*D41+56),IF(A41=11,IF(D41&lt;=7000,0.0035*D41+50,0.0025*D41+57.5),VLOOKUP(B41,'Daten Tierhaltung'!$B$7:$J$110,7,FALSE))))))))</f>
        <v>0</v>
      </c>
      <c r="S41" s="20">
        <f>E41*IF(A41=6,IF(D41&lt;=8000,0.0005*D41+30,0.001*D41+26),IF(A41=7,IF(D41&lt;=8000,0.0005*D41+28,0.0005*D41+28),IF(A41=101,IF(D41&lt;=8000,0.0015*D41+18.5,0.0015*D41+19.5),IF(A41=8,IF(D41&lt;=8000,0.0015*D41+19,0.0008*D41+25),IF(A41=9,IF(D41&lt;=8000,0.0015*D41+17,0.0015*D41+17.5),IF(A41=10,IF(D41&lt;=8000,0.001*D41+18.3,0.001*D41+20.4),IF(A41=11,IF(D41&lt;=7000,0.0013*D41+15,0.0013*D41+15.75),VLOOKUP(B41,'Daten Tierhaltung'!$B$7:$J$110,8,FALSE))))))))</f>
        <v>0</v>
      </c>
      <c r="T41" s="20">
        <f>E41*IF(A41=6,IF(D41&lt;=8000,0.002*D41+115,0.0015*D41+119),IF(A41=7,IF(D41&lt;=8000,0.0005*D41+118,0.001*D41+114),IF(A41=101,IF(D41&lt;=8000,0.0005*D41+76,0.001*D41+80),IF(A41=8,IF(D41&lt;=8000,0.004*D41+75,0.003*D41+83),IF(A41=9,IF(D41&lt;=8000,0.004*D41+69,0.0028*D41+79),IF(A41=10,IF(D41&lt;=8000,0.004*D41+60,0.0028*D41+75),IF(A41=11,IF(D41&lt;=7000,0.0045*D41+55,0.0025*D41+69.5),VLOOKUP(B41,'Daten Tierhaltung'!$B$7:$J$110,9,FALSE))))))))</f>
        <v>0</v>
      </c>
      <c r="U41" s="20">
        <f>IF(B41="leer",0,IF(G41&gt;60.8333,(IF(OR(A41=6,A41=7,A41=8,A41=9, A41=10, A41=101),IF(D41&lt;8000,(0.15*D41+6300)/1000,(0.25*D41+5500)/1000),IF(A41=11,(0.25*D41+5650)/1000,VLOOKUP(B41,'Daten Tierhaltung'!$B$7:$Q$110,11,FALSE))))*1/3*Tierhaltung!E41,IF(OR(A41=6,A41=7,A41=8,A41=9, A41=10,A41=101),(0.15*D41+6300)/1000,IF(A41=11,(0.25*D41+5650)/1000,VLOOKUP(B41,'Daten Tierhaltung'!$B$7:$Z$110,11,FALSE)))*G41*E41/182.5))</f>
        <v>0</v>
      </c>
      <c r="V41" s="20">
        <f>IF(B41="leer",0,IF(F41&gt;182.5,IF(OR(A41=6,A41=7,A41=8,A41=9,A41=10,A41=101),(0.25*D41+8000)/1000,VLOOKUP(B41,'Daten Tierhaltung'!$B$7:$Q$81,13,FALSE))*E41,IF(OR(A41=6,A41=7,A41=8,A41=9,A41=10,A41=101),(0.25*D41+8000)/1000,VLOOKUP(B41,'Daten Tierhaltung'!$B$7:$Z$110,13,FALSE))*E41*F41/182.5))</f>
        <v>0</v>
      </c>
      <c r="W41" s="20">
        <f t="shared" si="0"/>
        <v>0</v>
      </c>
      <c r="X41" s="394">
        <f t="shared" si="8"/>
        <v>0</v>
      </c>
      <c r="Y41" s="394">
        <f>IF(B41="leer",0,(IF(F41&gt;=182.5,0,IF(I41&gt;=182.5,(365-I41-F41)*IF(OR(A41=6,A41=7,A41=8,A41=9,A41=10,A41=101),((0.1*D41+2400)/1000)/182.5,VLOOKUP(B41,'Daten Tierhaltung'!$B$7:$Q$110,16,FALSE)),(182.5-F41)*IF(OR(A41=6,A41=7,A41=8,A41=9,A41=10,A41=101),((0.1*D41+2400)/1000)/182.5,(VLOOKUP(B41,'Daten Tierhaltung'!$B$7:$Q$110,16,FALSE)))))))</f>
        <v>0</v>
      </c>
      <c r="Z41" s="394">
        <f>IF(B41="leer",0,(IF(F41&gt;=182.5,0,IF(I41&gt;=182.5,(365-I41-F41)*IF(OR(A41=6,A41=7,A41=8,A41=9,A41=10,A41=101),((0.1*D41+2400)/1000)/(182.5*2),VLOOKUP(B41,'Daten Tierhaltung'!$B$7:$Q$110,16,FALSE)/2),(182.5-F41)*IF(OR(A41=6,A41=7,A41=8,A41=9,A41=10,A41=101),((0.1*D41+2400)/1000)/(182.5*2),(VLOOKUP(B41,'Daten Tierhaltung'!$B$7:$Z$110,16,FALSE)/2))))))</f>
        <v>0</v>
      </c>
      <c r="AA41" s="394">
        <f t="shared" si="1"/>
        <v>0</v>
      </c>
      <c r="AB41" s="394">
        <f>E41*J41*(F41/365*VLOOKUP(B41,'Daten Tierhaltung'!$B$7:$Z$110,22,FALSE)/100+(G41/365*VLOOKUP(B41,'Daten Tierhaltung'!$B$7:$Z$110,23,FALSE))/100)</f>
        <v>0</v>
      </c>
      <c r="AC41" s="394">
        <f>IF(C41="Abgabe an andere Betriebe",0,IF(C41="in eigene Biogasanlage",(E41*J41*((F41+G41)/365)-AB41)*0.1,IF(C41="auf selbst bewirtschaft. Flächen",(E41*J41*((F41+G41)/365)-AB41)*((F41/365*VLOOKUP(B41,'Daten Tierhaltung'!$B$7:$Z$110,24,FALSE)+(G41+I41)/365*VLOOKUP(B41,'Daten Tierhaltung'!$B$7:$Z$110,25,FALSE))/100),0)))</f>
        <v>0</v>
      </c>
      <c r="AD41" s="394">
        <f t="shared" si="2"/>
        <v>0</v>
      </c>
      <c r="AE41" s="20">
        <f t="shared" si="3"/>
        <v>0</v>
      </c>
      <c r="AF41" s="20">
        <f t="shared" si="4"/>
        <v>0</v>
      </c>
      <c r="AG41" s="20">
        <f t="shared" si="5"/>
        <v>0</v>
      </c>
    </row>
    <row r="42" spans="1:33" s="363" customFormat="1">
      <c r="A42" s="1056">
        <f>VLOOKUP(B42,'Daten Tierhaltung'!$B$7:$Z$108,2,FALSE)</f>
        <v>0</v>
      </c>
      <c r="B42" s="820" t="s">
        <v>163</v>
      </c>
      <c r="C42" s="820" t="s">
        <v>223</v>
      </c>
      <c r="D42" s="821">
        <v>0</v>
      </c>
      <c r="E42" s="821">
        <v>0</v>
      </c>
      <c r="F42" s="757">
        <f t="shared" si="6"/>
        <v>365</v>
      </c>
      <c r="G42" s="821">
        <v>0</v>
      </c>
      <c r="H42" s="820" t="s">
        <v>106</v>
      </c>
      <c r="I42" s="821">
        <v>0</v>
      </c>
      <c r="J42" s="758">
        <f>IF(A42=6,IF(D42&lt;=8000,0.0075*D42+69,0.007*D42+73),IF(A42=7,IF(D42&lt;=8000,0.0075*D42+64,0.0085*D42+56),IF(A42=101,IF(D42&lt;=8000,0.0073*D42+51,0.0085*D42+32),IF(A42=8,IF(D42&lt;=8000,0.007*D42+61,0.009*D42+44.667),IF(A42=9,IF(D42&lt;=8000,0.0075*D42+47,0.009*D42+23),IF(A42=10,IF(D42&lt;=8000,0.0075*D42+45,0.0093*D42+27),IF(A42=11,IF(D42&lt;=7000,0.0075*D42+38.5,0.01*D42+21),IF(A42=51,0.0058*D42+7.0627,IF(A42=52,0.0055*D42+6.8356,IF(A42=53,0.0052*D42+6.0136,VLOOKUP(B42,'Daten Tierhaltung'!$B$7:$J$110,4,FALSE)))))))))))</f>
        <v>0</v>
      </c>
      <c r="K42" s="758">
        <f>IF(A42=6,IF(D42&lt;=8000,0.0035*D42+15,0.002*D42+27),IF(A42=7,IF(D42&lt;=8000,0.003*D42+19,0.0025*D42+23),IF(A42=101,IF(D42&lt;=8000,0.0015*D42+24,0.0015*D42+26),IF(A42=8,IF(D42&lt;=8000,0.0025*D42+22,0.0025*D42+22),IF(A42=9,IF(D42&lt;=8000,0.0015*D42+23,0.0015*D42+24),IF(A42=10,IF(D42&lt;=8000,0.001*D42+27,0.001*D42+31.5),IF(A42=11,IF(D42&lt;=7000,0.002*D42+2.2,0.001*D42+7.5),IF(A42=51,0.0009*D42+4.1288,IF(A42=52,0.0014*D42+3.0932,IF(A42=53,0.0006*D42+3.3542,VLOOKUP(B42,'Daten Tierhaltung'!$B$7:$J$110,5,FALSE)))))))))))</f>
        <v>0</v>
      </c>
      <c r="L42" s="758">
        <f>IF(A42=6,IF(D42&lt;=8000,0.004*D42+110,0.004*D42+110),IF(A42=7,IF(D42&lt;=8000,0.0025*D42+114,0.0045*D42+98),IF(A42=101,IF(D42&lt;=8000,0.0025*D42+98,0.0045*D42+96),IF(A42=8,IF(D42&lt;=8000,0.007*D42+67,0.004*D42+91),IF(A42=9,IF(D42&lt;=8000,0.006*D42+68,0.0045*D42+80),IF(A42=10,IF(D42&lt;=8000,0.006*D42+58,0.0045*D42+80),IF(A42=11,IF(D42&lt;=7000,0.006*D42+54,0.006*D42+54),IF(A42=51,0.0023*D42+3.9271,IF(A42=52,0.0028*D42+3.3915,IF(A42=53,0.0024*D42+3.522,VLOOKUP(B42,'Daten Tierhaltung'!$B$7:$J$110,6,FALSE)))))))))))</f>
        <v>0</v>
      </c>
      <c r="M42" s="758">
        <f t="shared" si="7"/>
        <v>0</v>
      </c>
      <c r="N42" s="758" t="str">
        <f>IF(C42="Abgabe an andere Betriebe",E42*J42*(($F42/365*VLOOKUP(B42,'Daten Tierhaltung'!$B$7:$S$110,17,FALSE))+(($G42/365*VLOOKUP(B42,'Daten Tierhaltung'!$B$7:$S$110,18,FALSE)))),"0")</f>
        <v>0</v>
      </c>
      <c r="O42" s="758">
        <f>IF(C42="auf selbst bewirtschaft. Flächen",E42*J42*(($F42/365*VLOOKUP(B42,'Daten Tierhaltung'!$B$7:$S$110,17,FALSE))+(($G42/365*VLOOKUP(B42,'Daten Tierhaltung'!$B$7:$S$110,18,FALSE)))),"0")</f>
        <v>0</v>
      </c>
      <c r="P42" s="753">
        <f>E42*I42/365*VLOOKUP(B42,'Daten Tierhaltung'!$B$7:$V$110,18,FALSE)*J42</f>
        <v>0</v>
      </c>
      <c r="Q42" s="753" t="str">
        <f>IF(C42="in eigene Biogasanlage",E42*J42*((0.95*F42/365*VLOOKUP(B42,'Daten Tierhaltung'!$B$7:$V$110,17,FALSE))+((0.95*G42/365*VLOOKUP(B42,'Daten Tierhaltung'!$B$7:$V$110,18,FALSE)))),"0")</f>
        <v>0</v>
      </c>
      <c r="R42" s="20">
        <f>E42*IF(A42=6,IF(D42&lt;=8000,0.0015*D42+99,0.001*D42+103),IF(A42=7,IF(D42&lt;=8000,0.0005*D42+95,0.001*D42+91),IF(A42=101,IF(D42&lt;=8000,0.005*D42+56,0.005*D42+56),IF(A42=8,IF(D42&lt;=8000,0.0035*D42+65,0.002*D42+77),IF(A42=9,IF(D42&lt;=8000,0.0035*D42+51,0.003*D42+59),IF(A42=10,IF(D42&lt;=8000,0.0035*D42+50.5,0.0035*D42+56),IF(A42=11,IF(D42&lt;=7000,0.0035*D42+50,0.0025*D42+57.5),VLOOKUP(B42,'Daten Tierhaltung'!$B$7:$J$110,7,FALSE))))))))</f>
        <v>0</v>
      </c>
      <c r="S42" s="20">
        <f>E42*IF(A42=6,IF(D42&lt;=8000,0.0005*D42+30,0.001*D42+26),IF(A42=7,IF(D42&lt;=8000,0.0005*D42+28,0.0005*D42+28),IF(A42=101,IF(D42&lt;=8000,0.0015*D42+18.5,0.0015*D42+19.5),IF(A42=8,IF(D42&lt;=8000,0.0015*D42+19,0.0008*D42+25),IF(A42=9,IF(D42&lt;=8000,0.0015*D42+17,0.0015*D42+17.5),IF(A42=10,IF(D42&lt;=8000,0.001*D42+18.3,0.001*D42+20.4),IF(A42=11,IF(D42&lt;=7000,0.0013*D42+15,0.0013*D42+15.75),VLOOKUP(B42,'Daten Tierhaltung'!$B$7:$J$110,8,FALSE))))))))</f>
        <v>0</v>
      </c>
      <c r="T42" s="20">
        <f>E42*IF(A42=6,IF(D42&lt;=8000,0.002*D42+115,0.0015*D42+119),IF(A42=7,IF(D42&lt;=8000,0.0005*D42+118,0.001*D42+114),IF(A42=101,IF(D42&lt;=8000,0.0005*D42+76,0.001*D42+80),IF(A42=8,IF(D42&lt;=8000,0.004*D42+75,0.003*D42+83),IF(A42=9,IF(D42&lt;=8000,0.004*D42+69,0.0028*D42+79),IF(A42=10,IF(D42&lt;=8000,0.004*D42+60,0.0028*D42+75),IF(A42=11,IF(D42&lt;=7000,0.0045*D42+55,0.0025*D42+69.5),VLOOKUP(B42,'Daten Tierhaltung'!$B$7:$J$110,9,FALSE))))))))</f>
        <v>0</v>
      </c>
      <c r="U42" s="20">
        <f>IF(B42="leer",0,IF(G42&gt;60.8333,(IF(OR(A42=6,A42=7,A42=8,A42=9, A42=10, A42=101),IF(D42&lt;8000,(0.15*D42+6300)/1000,(0.25*D42+5500)/1000),IF(A42=11,(0.25*D42+5650)/1000,VLOOKUP(B42,'Daten Tierhaltung'!$B$7:$Q$110,11,FALSE))))*1/3*Tierhaltung!E42,IF(OR(A42=6,A42=7,A42=8,A42=9, A42=10,A42=101),(0.15*D42+6300)/1000,IF(A42=11,(0.25*D42+5650)/1000,VLOOKUP(B42,'Daten Tierhaltung'!$B$7:$Z$110,11,FALSE)))*G42*E42/182.5))</f>
        <v>0</v>
      </c>
      <c r="V42" s="20">
        <f>IF(B42="leer",0,IF(F42&gt;182.5,IF(OR(A42=6,A42=7,A42=8,A42=9,A42=10,A42=101),(0.25*D42+8000)/1000,VLOOKUP(B42,'Daten Tierhaltung'!$B$7:$Q$81,13,FALSE))*E42,IF(OR(A42=6,A42=7,A42=8,A42=9,A42=10,A42=101),(0.25*D42+8000)/1000,VLOOKUP(B42,'Daten Tierhaltung'!$B$7:$Z$110,13,FALSE))*E42*F42/182.5))</f>
        <v>0</v>
      </c>
      <c r="W42" s="20">
        <f t="shared" si="0"/>
        <v>0</v>
      </c>
      <c r="X42" s="394">
        <f t="shared" si="8"/>
        <v>0</v>
      </c>
      <c r="Y42" s="394">
        <f>IF(B42="leer",0,(IF(F42&gt;=182.5,0,IF(I42&gt;=182.5,(365-I42-F42)*IF(OR(A42=6,A42=7,A42=8,A42=9,A42=10,A42=101),((0.1*D42+2400)/1000)/182.5,VLOOKUP(B42,'Daten Tierhaltung'!$B$7:$Q$110,16,FALSE)),(182.5-F42)*IF(OR(A42=6,A42=7,A42=8,A42=9,A42=10,A42=101),((0.1*D42+2400)/1000)/182.5,(VLOOKUP(B42,'Daten Tierhaltung'!$B$7:$Q$110,16,FALSE)))))))</f>
        <v>0</v>
      </c>
      <c r="Z42" s="394">
        <f>IF(B42="leer",0,(IF(F42&gt;=182.5,0,IF(I42&gt;=182.5,(365-I42-F42)*IF(OR(A42=6,A42=7,A42=8,A42=9,A42=10,A42=101),((0.1*D42+2400)/1000)/(182.5*2),VLOOKUP(B42,'Daten Tierhaltung'!$B$7:$Q$110,16,FALSE)/2),(182.5-F42)*IF(OR(A42=6,A42=7,A42=8,A42=9,A42=10,A42=101),((0.1*D42+2400)/1000)/(182.5*2),(VLOOKUP(B42,'Daten Tierhaltung'!$B$7:$Z$110,16,FALSE)/2))))))</f>
        <v>0</v>
      </c>
      <c r="AA42" s="394">
        <f t="shared" si="1"/>
        <v>0</v>
      </c>
      <c r="AB42" s="394">
        <f>E42*J42*(F42/365*VLOOKUP(B42,'Daten Tierhaltung'!$B$7:$Z$110,22,FALSE)/100+(G42/365*VLOOKUP(B42,'Daten Tierhaltung'!$B$7:$Z$110,23,FALSE))/100)</f>
        <v>0</v>
      </c>
      <c r="AC42" s="394">
        <f>IF(C42="Abgabe an andere Betriebe",0,IF(C42="in eigene Biogasanlage",(E42*J42*((F42+G42)/365)-AB42)*0.1,IF(C42="auf selbst bewirtschaft. Flächen",(E42*J42*((F42+G42)/365)-AB42)*((F42/365*VLOOKUP(B42,'Daten Tierhaltung'!$B$7:$Z$110,24,FALSE)+(G42+I42)/365*VLOOKUP(B42,'Daten Tierhaltung'!$B$7:$Z$110,25,FALSE))/100),0)))</f>
        <v>0</v>
      </c>
      <c r="AD42" s="394">
        <f t="shared" si="2"/>
        <v>0</v>
      </c>
      <c r="AE42" s="20">
        <f t="shared" si="3"/>
        <v>0</v>
      </c>
      <c r="AF42" s="20">
        <f t="shared" si="4"/>
        <v>0</v>
      </c>
      <c r="AG42" s="20">
        <f t="shared" si="5"/>
        <v>0</v>
      </c>
    </row>
    <row r="43" spans="1:33" s="363" customFormat="1">
      <c r="A43" s="1056">
        <f>VLOOKUP(B43,'Daten Tierhaltung'!$B$7:$Z$108,2,FALSE)</f>
        <v>0</v>
      </c>
      <c r="B43" s="820" t="s">
        <v>163</v>
      </c>
      <c r="C43" s="820" t="s">
        <v>223</v>
      </c>
      <c r="D43" s="821">
        <v>0</v>
      </c>
      <c r="E43" s="821">
        <v>0</v>
      </c>
      <c r="F43" s="757">
        <f t="shared" si="6"/>
        <v>365</v>
      </c>
      <c r="G43" s="821">
        <v>0</v>
      </c>
      <c r="H43" s="820" t="s">
        <v>106</v>
      </c>
      <c r="I43" s="821">
        <v>0</v>
      </c>
      <c r="J43" s="758">
        <f>IF(A43=6,IF(D43&lt;=8000,0.0075*D43+69,0.007*D43+73),IF(A43=7,IF(D43&lt;=8000,0.0075*D43+64,0.0085*D43+56),IF(A43=101,IF(D43&lt;=8000,0.0073*D43+51,0.0085*D43+32),IF(A43=8,IF(D43&lt;=8000,0.007*D43+61,0.009*D43+44.667),IF(A43=9,IF(D43&lt;=8000,0.0075*D43+47,0.009*D43+23),IF(A43=10,IF(D43&lt;=8000,0.0075*D43+45,0.0093*D43+27),IF(A43=11,IF(D43&lt;=7000,0.0075*D43+38.5,0.01*D43+21),IF(A43=51,0.0058*D43+7.0627,IF(A43=52,0.0055*D43+6.8356,IF(A43=53,0.0052*D43+6.0136,VLOOKUP(B43,'Daten Tierhaltung'!$B$7:$J$110,4,FALSE)))))))))))</f>
        <v>0</v>
      </c>
      <c r="K43" s="758">
        <f>IF(A43=6,IF(D43&lt;=8000,0.0035*D43+15,0.002*D43+27),IF(A43=7,IF(D43&lt;=8000,0.003*D43+19,0.0025*D43+23),IF(A43=101,IF(D43&lt;=8000,0.0015*D43+24,0.0015*D43+26),IF(A43=8,IF(D43&lt;=8000,0.0025*D43+22,0.0025*D43+22),IF(A43=9,IF(D43&lt;=8000,0.0015*D43+23,0.0015*D43+24),IF(A43=10,IF(D43&lt;=8000,0.001*D43+27,0.001*D43+31.5),IF(A43=11,IF(D43&lt;=7000,0.002*D43+2.2,0.001*D43+7.5),IF(A43=51,0.0009*D43+4.1288,IF(A43=52,0.0014*D43+3.0932,IF(A43=53,0.0006*D43+3.3542,VLOOKUP(B43,'Daten Tierhaltung'!$B$7:$J$110,5,FALSE)))))))))))</f>
        <v>0</v>
      </c>
      <c r="L43" s="758">
        <f>IF(A43=6,IF(D43&lt;=8000,0.004*D43+110,0.004*D43+110),IF(A43=7,IF(D43&lt;=8000,0.0025*D43+114,0.0045*D43+98),IF(A43=101,IF(D43&lt;=8000,0.0025*D43+98,0.0045*D43+96),IF(A43=8,IF(D43&lt;=8000,0.007*D43+67,0.004*D43+91),IF(A43=9,IF(D43&lt;=8000,0.006*D43+68,0.0045*D43+80),IF(A43=10,IF(D43&lt;=8000,0.006*D43+58,0.0045*D43+80),IF(A43=11,IF(D43&lt;=7000,0.006*D43+54,0.006*D43+54),IF(A43=51,0.0023*D43+3.9271,IF(A43=52,0.0028*D43+3.3915,IF(A43=53,0.0024*D43+3.522,VLOOKUP(B43,'Daten Tierhaltung'!$B$7:$J$110,6,FALSE)))))))))))</f>
        <v>0</v>
      </c>
      <c r="M43" s="758">
        <f t="shared" si="7"/>
        <v>0</v>
      </c>
      <c r="N43" s="758" t="str">
        <f>IF(C43="Abgabe an andere Betriebe",E43*J43*(($F43/365*VLOOKUP(B43,'Daten Tierhaltung'!$B$7:$S$110,17,FALSE))+(($G43/365*VLOOKUP(B43,'Daten Tierhaltung'!$B$7:$S$110,18,FALSE)))),"0")</f>
        <v>0</v>
      </c>
      <c r="O43" s="758">
        <f>IF(C43="auf selbst bewirtschaft. Flächen",E43*J43*(($F43/365*VLOOKUP(B43,'Daten Tierhaltung'!$B$7:$S$110,17,FALSE))+(($G43/365*VLOOKUP(B43,'Daten Tierhaltung'!$B$7:$S$110,18,FALSE)))),"0")</f>
        <v>0</v>
      </c>
      <c r="P43" s="753">
        <f>E43*I43/365*VLOOKUP(B43,'Daten Tierhaltung'!$B$7:$V$110,18,FALSE)*J43</f>
        <v>0</v>
      </c>
      <c r="Q43" s="753" t="str">
        <f>IF(C43="in eigene Biogasanlage",E43*J43*((0.95*F43/365*VLOOKUP(B43,'Daten Tierhaltung'!$B$7:$V$110,17,FALSE))+((0.95*G43/365*VLOOKUP(B43,'Daten Tierhaltung'!$B$7:$V$110,18,FALSE)))),"0")</f>
        <v>0</v>
      </c>
      <c r="R43" s="20">
        <f>E43*IF(A43=6,IF(D43&lt;=8000,0.0015*D43+99,0.001*D43+103),IF(A43=7,IF(D43&lt;=8000,0.0005*D43+95,0.001*D43+91),IF(A43=101,IF(D43&lt;=8000,0.005*D43+56,0.005*D43+56),IF(A43=8,IF(D43&lt;=8000,0.0035*D43+65,0.002*D43+77),IF(A43=9,IF(D43&lt;=8000,0.0035*D43+51,0.003*D43+59),IF(A43=10,IF(D43&lt;=8000,0.0035*D43+50.5,0.0035*D43+56),IF(A43=11,IF(D43&lt;=7000,0.0035*D43+50,0.0025*D43+57.5),VLOOKUP(B43,'Daten Tierhaltung'!$B$7:$J$110,7,FALSE))))))))</f>
        <v>0</v>
      </c>
      <c r="S43" s="20">
        <f>E43*IF(A43=6,IF(D43&lt;=8000,0.0005*D43+30,0.001*D43+26),IF(A43=7,IF(D43&lt;=8000,0.0005*D43+28,0.0005*D43+28),IF(A43=101,IF(D43&lt;=8000,0.0015*D43+18.5,0.0015*D43+19.5),IF(A43=8,IF(D43&lt;=8000,0.0015*D43+19,0.0008*D43+25),IF(A43=9,IF(D43&lt;=8000,0.0015*D43+17,0.0015*D43+17.5),IF(A43=10,IF(D43&lt;=8000,0.001*D43+18.3,0.001*D43+20.4),IF(A43=11,IF(D43&lt;=7000,0.0013*D43+15,0.0013*D43+15.75),VLOOKUP(B43,'Daten Tierhaltung'!$B$7:$J$110,8,FALSE))))))))</f>
        <v>0</v>
      </c>
      <c r="T43" s="20">
        <f>E43*IF(A43=6,IF(D43&lt;=8000,0.002*D43+115,0.0015*D43+119),IF(A43=7,IF(D43&lt;=8000,0.0005*D43+118,0.001*D43+114),IF(A43=101,IF(D43&lt;=8000,0.0005*D43+76,0.001*D43+80),IF(A43=8,IF(D43&lt;=8000,0.004*D43+75,0.003*D43+83),IF(A43=9,IF(D43&lt;=8000,0.004*D43+69,0.0028*D43+79),IF(A43=10,IF(D43&lt;=8000,0.004*D43+60,0.0028*D43+75),IF(A43=11,IF(D43&lt;=7000,0.0045*D43+55,0.0025*D43+69.5),VLOOKUP(B43,'Daten Tierhaltung'!$B$7:$J$110,9,FALSE))))))))</f>
        <v>0</v>
      </c>
      <c r="U43" s="20">
        <f>IF(B43="leer",0,IF(G43&gt;60.8333,(IF(OR(A43=6,A43=7,A43=8,A43=9, A43=10, A43=101),IF(D43&lt;8000,(0.15*D43+6300)/1000,(0.25*D43+5500)/1000),IF(A43=11,(0.25*D43+5650)/1000,VLOOKUP(B43,'Daten Tierhaltung'!$B$7:$Q$110,11,FALSE))))*1/3*Tierhaltung!E43,IF(OR(A43=6,A43=7,A43=8,A43=9, A43=10,A43=101),(0.15*D43+6300)/1000,IF(A43=11,(0.25*D43+5650)/1000,VLOOKUP(B43,'Daten Tierhaltung'!$B$7:$Z$110,11,FALSE)))*G43*E43/182.5))</f>
        <v>0</v>
      </c>
      <c r="V43" s="20">
        <f>IF(B43="leer",0,IF(F43&gt;182.5,IF(OR(A43=6,A43=7,A43=8,A43=9,A43=10,A43=101),(0.25*D43+8000)/1000,VLOOKUP(B43,'Daten Tierhaltung'!$B$7:$Q$81,13,FALSE))*E43,IF(OR(A43=6,A43=7,A43=8,A43=9,A43=10,A43=101),(0.25*D43+8000)/1000,VLOOKUP(B43,'Daten Tierhaltung'!$B$7:$Z$110,13,FALSE))*E43*F43/182.5))</f>
        <v>0</v>
      </c>
      <c r="W43" s="20">
        <f t="shared" si="0"/>
        <v>0</v>
      </c>
      <c r="X43" s="394">
        <f t="shared" si="8"/>
        <v>0</v>
      </c>
      <c r="Y43" s="394">
        <f>IF(B43="leer",0,(IF(F43&gt;=182.5,0,IF(I43&gt;=182.5,(365-I43-F43)*IF(OR(A43=6,A43=7,A43=8,A43=9,A43=10,A43=101),((0.1*D43+2400)/1000)/182.5,VLOOKUP(B43,'Daten Tierhaltung'!$B$7:$Q$110,16,FALSE)),(182.5-F43)*IF(OR(A43=6,A43=7,A43=8,A43=9,A43=10,A43=101),((0.1*D43+2400)/1000)/182.5,(VLOOKUP(B43,'Daten Tierhaltung'!$B$7:$Q$110,16,FALSE)))))))</f>
        <v>0</v>
      </c>
      <c r="Z43" s="394">
        <f>IF(B43="leer",0,(IF(F43&gt;=182.5,0,IF(I43&gt;=182.5,(365-I43-F43)*IF(OR(A43=6,A43=7,A43=8,A43=9,A43=10,A43=101),((0.1*D43+2400)/1000)/(182.5*2),VLOOKUP(B43,'Daten Tierhaltung'!$B$7:$Q$110,16,FALSE)/2),(182.5-F43)*IF(OR(A43=6,A43=7,A43=8,A43=9,A43=10,A43=101),((0.1*D43+2400)/1000)/(182.5*2),(VLOOKUP(B43,'Daten Tierhaltung'!$B$7:$Z$110,16,FALSE)/2))))))</f>
        <v>0</v>
      </c>
      <c r="AA43" s="394">
        <f t="shared" si="1"/>
        <v>0</v>
      </c>
      <c r="AB43" s="394">
        <f>E43*J43*(F43/365*VLOOKUP(B43,'Daten Tierhaltung'!$B$7:$Z$110,22,FALSE)/100+(G43/365*VLOOKUP(B43,'Daten Tierhaltung'!$B$7:$Z$110,23,FALSE))/100)</f>
        <v>0</v>
      </c>
      <c r="AC43" s="394">
        <f>IF(C43="Abgabe an andere Betriebe",0,IF(C43="in eigene Biogasanlage",(E43*J43*((F43+G43)/365)-AB43)*0.1,IF(C43="auf selbst bewirtschaft. Flächen",(E43*J43*((F43+G43)/365)-AB43)*((F43/365*VLOOKUP(B43,'Daten Tierhaltung'!$B$7:$Z$110,24,FALSE)+(G43+I43)/365*VLOOKUP(B43,'Daten Tierhaltung'!$B$7:$Z$110,25,FALSE))/100),0)))</f>
        <v>0</v>
      </c>
      <c r="AD43" s="394">
        <f t="shared" si="2"/>
        <v>0</v>
      </c>
      <c r="AE43" s="20">
        <f t="shared" si="3"/>
        <v>0</v>
      </c>
      <c r="AF43" s="20">
        <f t="shared" si="4"/>
        <v>0</v>
      </c>
      <c r="AG43" s="20">
        <f t="shared" si="5"/>
        <v>0</v>
      </c>
    </row>
    <row r="44" spans="1:33" s="363" customFormat="1">
      <c r="A44" s="1056">
        <f>VLOOKUP(B44,'Daten Tierhaltung'!$B$7:$Z$108,2,FALSE)</f>
        <v>0</v>
      </c>
      <c r="B44" s="820" t="s">
        <v>163</v>
      </c>
      <c r="C44" s="820" t="s">
        <v>223</v>
      </c>
      <c r="D44" s="821">
        <v>0</v>
      </c>
      <c r="E44" s="821">
        <v>0</v>
      </c>
      <c r="F44" s="757">
        <f t="shared" si="6"/>
        <v>365</v>
      </c>
      <c r="G44" s="821">
        <v>0</v>
      </c>
      <c r="H44" s="820" t="s">
        <v>106</v>
      </c>
      <c r="I44" s="821">
        <v>0</v>
      </c>
      <c r="J44" s="758">
        <f>IF(A44=6,IF(D44&lt;=8000,0.0075*D44+69,0.007*D44+73),IF(A44=7,IF(D44&lt;=8000,0.0075*D44+64,0.0085*D44+56),IF(A44=101,IF(D44&lt;=8000,0.0073*D44+51,0.0085*D44+32),IF(A44=8,IF(D44&lt;=8000,0.007*D44+61,0.009*D44+44.667),IF(A44=9,IF(D44&lt;=8000,0.0075*D44+47,0.009*D44+23),IF(A44=10,IF(D44&lt;=8000,0.0075*D44+45,0.0093*D44+27),IF(A44=11,IF(D44&lt;=7000,0.0075*D44+38.5,0.01*D44+21),IF(A44=51,0.0058*D44+7.0627,IF(A44=52,0.0055*D44+6.8356,IF(A44=53,0.0052*D44+6.0136,VLOOKUP(B44,'Daten Tierhaltung'!$B$7:$J$110,4,FALSE)))))))))))</f>
        <v>0</v>
      </c>
      <c r="K44" s="758">
        <f>IF(A44=6,IF(D44&lt;=8000,0.0035*D44+15,0.002*D44+27),IF(A44=7,IF(D44&lt;=8000,0.003*D44+19,0.0025*D44+23),IF(A44=101,IF(D44&lt;=8000,0.0015*D44+24,0.0015*D44+26),IF(A44=8,IF(D44&lt;=8000,0.0025*D44+22,0.0025*D44+22),IF(A44=9,IF(D44&lt;=8000,0.0015*D44+23,0.0015*D44+24),IF(A44=10,IF(D44&lt;=8000,0.001*D44+27,0.001*D44+31.5),IF(A44=11,IF(D44&lt;=7000,0.002*D44+2.2,0.001*D44+7.5),IF(A44=51,0.0009*D44+4.1288,IF(A44=52,0.0014*D44+3.0932,IF(A44=53,0.0006*D44+3.3542,VLOOKUP(B44,'Daten Tierhaltung'!$B$7:$J$110,5,FALSE)))))))))))</f>
        <v>0</v>
      </c>
      <c r="L44" s="758">
        <f>IF(A44=6,IF(D44&lt;=8000,0.004*D44+110,0.004*D44+110),IF(A44=7,IF(D44&lt;=8000,0.0025*D44+114,0.0045*D44+98),IF(A44=101,IF(D44&lt;=8000,0.0025*D44+98,0.0045*D44+96),IF(A44=8,IF(D44&lt;=8000,0.007*D44+67,0.004*D44+91),IF(A44=9,IF(D44&lt;=8000,0.006*D44+68,0.0045*D44+80),IF(A44=10,IF(D44&lt;=8000,0.006*D44+58,0.0045*D44+80),IF(A44=11,IF(D44&lt;=7000,0.006*D44+54,0.006*D44+54),IF(A44=51,0.0023*D44+3.9271,IF(A44=52,0.0028*D44+3.3915,IF(A44=53,0.0024*D44+3.522,VLOOKUP(B44,'Daten Tierhaltung'!$B$7:$J$110,6,FALSE)))))))))))</f>
        <v>0</v>
      </c>
      <c r="M44" s="758">
        <f t="shared" si="7"/>
        <v>0</v>
      </c>
      <c r="N44" s="758" t="str">
        <f>IF(C44="Abgabe an andere Betriebe",E44*J44*(($F44/365*VLOOKUP(B44,'Daten Tierhaltung'!$B$7:$S$110,17,FALSE))+(($G44/365*VLOOKUP(B44,'Daten Tierhaltung'!$B$7:$S$110,18,FALSE)))),"0")</f>
        <v>0</v>
      </c>
      <c r="O44" s="758">
        <f>IF(C44="auf selbst bewirtschaft. Flächen",E44*J44*(($F44/365*VLOOKUP(B44,'Daten Tierhaltung'!$B$7:$S$110,17,FALSE))+(($G44/365*VLOOKUP(B44,'Daten Tierhaltung'!$B$7:$S$110,18,FALSE)))),"0")</f>
        <v>0</v>
      </c>
      <c r="P44" s="753">
        <f>E44*I44/365*VLOOKUP(B44,'Daten Tierhaltung'!$B$7:$V$110,18,FALSE)*J44</f>
        <v>0</v>
      </c>
      <c r="Q44" s="753" t="str">
        <f>IF(C44="in eigene Biogasanlage",E44*J44*((0.95*F44/365*VLOOKUP(B44,'Daten Tierhaltung'!$B$7:$V$110,17,FALSE))+((0.95*G44/365*VLOOKUP(B44,'Daten Tierhaltung'!$B$7:$V$110,18,FALSE)))),"0")</f>
        <v>0</v>
      </c>
      <c r="R44" s="20">
        <f>E44*IF(A44=6,IF(D44&lt;=8000,0.0015*D44+99,0.001*D44+103),IF(A44=7,IF(D44&lt;=8000,0.0005*D44+95,0.001*D44+91),IF(A44=101,IF(D44&lt;=8000,0.005*D44+56,0.005*D44+56),IF(A44=8,IF(D44&lt;=8000,0.0035*D44+65,0.002*D44+77),IF(A44=9,IF(D44&lt;=8000,0.0035*D44+51,0.003*D44+59),IF(A44=10,IF(D44&lt;=8000,0.0035*D44+50.5,0.0035*D44+56),IF(A44=11,IF(D44&lt;=7000,0.0035*D44+50,0.0025*D44+57.5),VLOOKUP(B44,'Daten Tierhaltung'!$B$7:$J$110,7,FALSE))))))))</f>
        <v>0</v>
      </c>
      <c r="S44" s="20">
        <f>E44*IF(A44=6,IF(D44&lt;=8000,0.0005*D44+30,0.001*D44+26),IF(A44=7,IF(D44&lt;=8000,0.0005*D44+28,0.0005*D44+28),IF(A44=101,IF(D44&lt;=8000,0.0015*D44+18.5,0.0015*D44+19.5),IF(A44=8,IF(D44&lt;=8000,0.0015*D44+19,0.0008*D44+25),IF(A44=9,IF(D44&lt;=8000,0.0015*D44+17,0.0015*D44+17.5),IF(A44=10,IF(D44&lt;=8000,0.001*D44+18.3,0.001*D44+20.4),IF(A44=11,IF(D44&lt;=7000,0.0013*D44+15,0.0013*D44+15.75),VLOOKUP(B44,'Daten Tierhaltung'!$B$7:$J$110,8,FALSE))))))))</f>
        <v>0</v>
      </c>
      <c r="T44" s="20">
        <f>E44*IF(A44=6,IF(D44&lt;=8000,0.002*D44+115,0.0015*D44+119),IF(A44=7,IF(D44&lt;=8000,0.0005*D44+118,0.001*D44+114),IF(A44=101,IF(D44&lt;=8000,0.0005*D44+76,0.001*D44+80),IF(A44=8,IF(D44&lt;=8000,0.004*D44+75,0.003*D44+83),IF(A44=9,IF(D44&lt;=8000,0.004*D44+69,0.0028*D44+79),IF(A44=10,IF(D44&lt;=8000,0.004*D44+60,0.0028*D44+75),IF(A44=11,IF(D44&lt;=7000,0.0045*D44+55,0.0025*D44+69.5),VLOOKUP(B44,'Daten Tierhaltung'!$B$7:$J$110,9,FALSE))))))))</f>
        <v>0</v>
      </c>
      <c r="U44" s="20">
        <f>IF(B44="leer",0,IF(G44&gt;60.8333,(IF(OR(A44=6,A44=7,A44=8,A44=9, A44=10, A44=101),IF(D44&lt;8000,(0.15*D44+6300)/1000,(0.25*D44+5500)/1000),IF(A44=11,(0.25*D44+5650)/1000,VLOOKUP(B44,'Daten Tierhaltung'!$B$7:$Q$110,11,FALSE))))*1/3*Tierhaltung!E44,IF(OR(A44=6,A44=7,A44=8,A44=9, A44=10,A44=101),(0.15*D44+6300)/1000,IF(A44=11,(0.25*D44+5650)/1000,VLOOKUP(B44,'Daten Tierhaltung'!$B$7:$Z$110,11,FALSE)))*G44*E44/182.5))</f>
        <v>0</v>
      </c>
      <c r="V44" s="20">
        <f>IF(B44="leer",0,IF(F44&gt;182.5,IF(OR(A44=6,A44=7,A44=8,A44=9,A44=10,A44=101),(0.25*D44+8000)/1000,VLOOKUP(B44,'Daten Tierhaltung'!$B$7:$Q$81,13,FALSE))*E44,IF(OR(A44=6,A44=7,A44=8,A44=9,A44=10,A44=101),(0.25*D44+8000)/1000,VLOOKUP(B44,'Daten Tierhaltung'!$B$7:$Z$110,13,FALSE))*E44*F44/182.5))</f>
        <v>0</v>
      </c>
      <c r="W44" s="20">
        <f t="shared" si="0"/>
        <v>0</v>
      </c>
      <c r="X44" s="923">
        <f t="shared" si="8"/>
        <v>0</v>
      </c>
      <c r="Y44" s="394">
        <f>IF(B44="leer",0,(IF(F44&gt;=182.5,0,IF(I44&gt;=182.5,(365-I44-F44)*IF(OR(A44=6,A44=7,A44=8,A44=9,A44=10,A44=101),((0.1*D44+2400)/1000)/182.5,VLOOKUP(B44,'Daten Tierhaltung'!$B$7:$Q$110,16,FALSE)),(182.5-F44)*IF(OR(A44=6,A44=7,A44=8,A44=9,A44=10,A44=101),((0.1*D44+2400)/1000)/182.5,(VLOOKUP(B44,'Daten Tierhaltung'!$B$7:$Q$110,16,FALSE)))))))</f>
        <v>0</v>
      </c>
      <c r="Z44" s="394">
        <f>IF(B44="leer",0,(IF(F44&gt;=182.5,0,IF(I44&gt;=182.5,(365-I44-F44)*IF(OR(A44=6,A44=7,A44=8,A44=9,A44=10,A44=101),((0.1*D44+2400)/1000)/(182.5*2),VLOOKUP(B44,'Daten Tierhaltung'!$B$7:$Q$110,16,FALSE)/2),(182.5-F44)*IF(OR(A44=6,A44=7,A44=8,A44=9,A44=10,A44=101),((0.1*D44+2400)/1000)/(182.5*2),(VLOOKUP(B44,'Daten Tierhaltung'!$B$7:$Z$110,16,FALSE)/2))))))</f>
        <v>0</v>
      </c>
      <c r="AA44" s="394">
        <f t="shared" si="1"/>
        <v>0</v>
      </c>
      <c r="AB44" s="394">
        <f>E44*J44*(F44/365*VLOOKUP(B44,'Daten Tierhaltung'!$B$7:$Z$110,22,FALSE)/100+(G44/365*VLOOKUP(B44,'Daten Tierhaltung'!$B$7:$Z$110,23,FALSE))/100)</f>
        <v>0</v>
      </c>
      <c r="AC44" s="394">
        <f>IF(C44="Abgabe an andere Betriebe",0,IF(C44="in eigene Biogasanlage",(E44*J44*((F44+G44)/365)-AB44)*0.1,IF(C44="auf selbst bewirtschaft. Flächen",(E44*J44*((F44+G44)/365)-AB44)*((F44/365*VLOOKUP(B44,'Daten Tierhaltung'!$B$7:$Z$110,24,FALSE)+(G44+I44)/365*VLOOKUP(B44,'Daten Tierhaltung'!$B$7:$Z$110,25,FALSE))/100),0)))</f>
        <v>0</v>
      </c>
      <c r="AD44" s="394">
        <f t="shared" si="2"/>
        <v>0</v>
      </c>
      <c r="AE44" s="20">
        <f t="shared" si="3"/>
        <v>0</v>
      </c>
      <c r="AF44" s="20">
        <f t="shared" si="4"/>
        <v>0</v>
      </c>
      <c r="AG44" s="20">
        <f t="shared" si="5"/>
        <v>0</v>
      </c>
    </row>
    <row r="45" spans="1:33" s="759" customFormat="1" ht="19.5" customHeight="1">
      <c r="A45" s="1057"/>
      <c r="B45" s="750" t="s">
        <v>38</v>
      </c>
      <c r="C45"/>
      <c r="D45"/>
      <c r="E45"/>
      <c r="F45"/>
      <c r="G45"/>
      <c r="H45"/>
      <c r="I45" s="1051"/>
      <c r="J45" s="1051"/>
      <c r="K45"/>
      <c r="L45"/>
      <c r="M45" s="741">
        <f t="shared" ref="M45:R45" si="9">SUM(M13:M44)</f>
        <v>0</v>
      </c>
      <c r="N45" s="741">
        <f t="shared" si="9"/>
        <v>0</v>
      </c>
      <c r="O45" s="741">
        <f t="shared" si="9"/>
        <v>0</v>
      </c>
      <c r="P45" s="741">
        <f t="shared" si="9"/>
        <v>0</v>
      </c>
      <c r="Q45" s="741">
        <f t="shared" si="9"/>
        <v>0</v>
      </c>
      <c r="R45" s="535">
        <f t="shared" si="9"/>
        <v>0</v>
      </c>
      <c r="S45" s="535">
        <f t="shared" ref="S45:W45" si="10">SUM(S13:S44)</f>
        <v>0</v>
      </c>
      <c r="T45" s="535">
        <f t="shared" si="10"/>
        <v>0</v>
      </c>
      <c r="U45" s="535">
        <f>SUM(U13:U44)</f>
        <v>0</v>
      </c>
      <c r="V45" s="535">
        <f t="shared" si="10"/>
        <v>0</v>
      </c>
      <c r="W45" s="395">
        <f t="shared" si="10"/>
        <v>0</v>
      </c>
      <c r="X45" s="743">
        <f>SUM(V45:W45)</f>
        <v>0</v>
      </c>
      <c r="Y45"/>
      <c r="Z45"/>
      <c r="AA45"/>
      <c r="AB45" s="395">
        <f>SUM(AB13:AB44)</f>
        <v>0</v>
      </c>
      <c r="AC45" s="395">
        <f>SUM(AC13:AC44)</f>
        <v>0</v>
      </c>
      <c r="AD45" s="395">
        <f>SUM(AD13:AD44)</f>
        <v>0</v>
      </c>
      <c r="AE45" s="535">
        <f>SUM(AE13:AE44)</f>
        <v>0</v>
      </c>
      <c r="AF45" s="535">
        <f t="shared" ref="AF45:AG45" si="11">SUM(AF13:AF44)</f>
        <v>0</v>
      </c>
      <c r="AG45" s="535">
        <f t="shared" si="11"/>
        <v>0</v>
      </c>
    </row>
    <row r="46" spans="1:33" s="363" customFormat="1">
      <c r="A46" s="1056"/>
      <c r="C46" s="787"/>
      <c r="D46" s="787"/>
      <c r="E46" s="358"/>
      <c r="F46" s="358"/>
      <c r="G46" s="358"/>
      <c r="H46" s="771"/>
      <c r="I46" s="1051"/>
      <c r="J46" s="1051"/>
      <c r="K46" s="788"/>
      <c r="L46" s="788"/>
      <c r="M46" s="788"/>
      <c r="N46" s="1060"/>
      <c r="O46" s="788"/>
      <c r="P46" s="789"/>
      <c r="Q46" s="789"/>
      <c r="R46" s="794">
        <f>Pflanzenbau!P67</f>
        <v>0</v>
      </c>
      <c r="S46" s="794">
        <f>Pflanzenbau!$P$67</f>
        <v>0</v>
      </c>
      <c r="T46" s="794">
        <f>Pflanzenbau!$P$67</f>
        <v>0</v>
      </c>
      <c r="U46" s="787"/>
      <c r="V46" s="787"/>
      <c r="W46" s="787"/>
      <c r="X46" s="924"/>
      <c r="Y46" s="726"/>
      <c r="Z46" s="726"/>
      <c r="AA46" s="726"/>
      <c r="AB46" s="726"/>
      <c r="AC46" s="726"/>
      <c r="AD46" s="726"/>
      <c r="AE46" s="358"/>
      <c r="AF46" s="358"/>
      <c r="AG46" s="358"/>
    </row>
    <row r="47" spans="1:33" s="759" customFormat="1" ht="19.5" customHeight="1">
      <c r="A47" s="1057"/>
      <c r="D47" s="790"/>
      <c r="E47" s="416"/>
      <c r="F47" s="416"/>
      <c r="G47" s="416"/>
      <c r="H47" s="772"/>
      <c r="I47" s="1051"/>
      <c r="J47" s="1051"/>
      <c r="K47" s="362"/>
      <c r="L47" s="362"/>
      <c r="M47" s="362"/>
      <c r="O47" s="362"/>
      <c r="P47" s="789"/>
      <c r="Q47" s="789"/>
      <c r="R47" s="535">
        <f>R45*(R46/100)</f>
        <v>0</v>
      </c>
      <c r="S47" s="535">
        <f>S45*(S46/100)</f>
        <v>0</v>
      </c>
      <c r="T47" s="535">
        <f>T45*(T46/100)</f>
        <v>0</v>
      </c>
      <c r="U47" s="790"/>
      <c r="V47" s="790"/>
      <c r="W47" s="790"/>
      <c r="X47" s="790"/>
      <c r="Y47" s="459"/>
      <c r="Z47" s="459"/>
      <c r="AA47" s="459"/>
      <c r="AB47" s="726"/>
      <c r="AC47" s="459"/>
      <c r="AD47" s="459"/>
      <c r="AE47" s="416"/>
      <c r="AF47" s="416"/>
      <c r="AG47" s="416"/>
    </row>
    <row r="48" spans="1:33" s="759" customFormat="1" ht="19.5" customHeight="1">
      <c r="A48" s="1057"/>
      <c r="C48" s="790"/>
      <c r="D48" s="790"/>
      <c r="E48" s="795"/>
      <c r="F48" s="416"/>
      <c r="G48" s="416"/>
      <c r="H48" s="772"/>
      <c r="I48" s="1051"/>
      <c r="J48" s="1051"/>
      <c r="K48" s="362"/>
      <c r="L48" s="362"/>
      <c r="M48" s="362"/>
      <c r="N48" s="362"/>
      <c r="O48" s="362"/>
      <c r="P48" s="789"/>
      <c r="Q48" s="789"/>
      <c r="R48" s="273">
        <f>R45+R47</f>
        <v>0</v>
      </c>
      <c r="S48" s="273">
        <f>S45+S47</f>
        <v>0</v>
      </c>
      <c r="T48" s="273">
        <f>T45+T47</f>
        <v>0</v>
      </c>
      <c r="U48" s="784"/>
      <c r="V48" s="790"/>
      <c r="W48" s="790"/>
      <c r="X48" s="790"/>
      <c r="Y48" s="459"/>
      <c r="Z48" s="459"/>
      <c r="AA48" s="459"/>
      <c r="AB48" s="726"/>
      <c r="AC48" s="459"/>
      <c r="AD48" s="459"/>
      <c r="AE48" s="416"/>
      <c r="AF48" s="416"/>
      <c r="AG48" s="416"/>
    </row>
    <row r="49" spans="1:33" ht="15.75">
      <c r="C49" s="791"/>
      <c r="D49" s="791"/>
      <c r="E49" s="795"/>
      <c r="F49" s="109"/>
      <c r="G49" s="109"/>
      <c r="H49" s="517"/>
      <c r="I49" s="1051"/>
      <c r="J49" s="1051"/>
      <c r="K49" s="792"/>
      <c r="L49" s="792"/>
      <c r="M49" s="792"/>
      <c r="N49" s="792"/>
      <c r="O49" s="792"/>
      <c r="P49" s="785"/>
      <c r="Q49" s="785"/>
      <c r="R49" s="535">
        <f>(R45*(10/100))</f>
        <v>0</v>
      </c>
      <c r="S49" s="535">
        <f t="shared" ref="S49:T49" si="12">(S45*(10/100))</f>
        <v>0</v>
      </c>
      <c r="T49" s="535">
        <f t="shared" si="12"/>
        <v>0</v>
      </c>
      <c r="U49" s="791"/>
      <c r="V49" s="791"/>
      <c r="W49" s="793"/>
      <c r="X49" s="791"/>
      <c r="Y49" s="786"/>
      <c r="Z49" s="786"/>
      <c r="AA49" s="786"/>
      <c r="AB49" s="726"/>
      <c r="AC49" s="786"/>
      <c r="AD49" s="786"/>
      <c r="AE49" s="107"/>
      <c r="AF49" s="107"/>
      <c r="AG49" s="107"/>
    </row>
    <row r="50" spans="1:33" s="639" customFormat="1" ht="19.5" customHeight="1">
      <c r="A50" s="1058"/>
      <c r="C50" s="784"/>
      <c r="D50" s="784"/>
      <c r="E50" s="795"/>
      <c r="H50" s="746"/>
      <c r="I50" s="1051"/>
      <c r="J50" s="1051"/>
      <c r="K50" s="562"/>
      <c r="L50" s="562"/>
      <c r="M50" s="562"/>
      <c r="N50" s="562"/>
      <c r="O50" s="562"/>
      <c r="P50" s="785"/>
      <c r="Q50" s="785"/>
      <c r="V50" s="784"/>
      <c r="W50" s="784"/>
      <c r="X50" s="784"/>
      <c r="Y50" s="304"/>
      <c r="Z50" s="304"/>
      <c r="AA50" s="304"/>
      <c r="AB50" s="786"/>
      <c r="AC50" s="304"/>
      <c r="AD50" s="304"/>
    </row>
    <row r="51" spans="1:33">
      <c r="E51" s="795"/>
    </row>
    <row r="52" spans="1:33">
      <c r="E52" s="795"/>
    </row>
  </sheetData>
  <sheetProtection formatColumns="0" formatRows="0" selectLockedCells="1"/>
  <mergeCells count="30">
    <mergeCell ref="A5:A10"/>
    <mergeCell ref="U11:X11"/>
    <mergeCell ref="B11:B12"/>
    <mergeCell ref="B1:D2"/>
    <mergeCell ref="B5:B10"/>
    <mergeCell ref="E5:E10"/>
    <mergeCell ref="C11:C12"/>
    <mergeCell ref="D11:D12"/>
    <mergeCell ref="E11:E12"/>
    <mergeCell ref="C5:D10"/>
    <mergeCell ref="N11:Q11"/>
    <mergeCell ref="K9:L9"/>
    <mergeCell ref="M11:M12"/>
    <mergeCell ref="K4:M4"/>
    <mergeCell ref="Y4:AA8"/>
    <mergeCell ref="AE11:AG11"/>
    <mergeCell ref="F10:I10"/>
    <mergeCell ref="AA11:AA12"/>
    <mergeCell ref="R11:T11"/>
    <mergeCell ref="AB11:AD11"/>
    <mergeCell ref="F11:I11"/>
    <mergeCell ref="J11:L11"/>
    <mergeCell ref="Y11:Y12"/>
    <mergeCell ref="Z11:Z12"/>
    <mergeCell ref="U2:X10"/>
    <mergeCell ref="Y9:Y10"/>
    <mergeCell ref="Z9:Z10"/>
    <mergeCell ref="AA9:AA10"/>
    <mergeCell ref="F6:I9"/>
    <mergeCell ref="F1:I5"/>
  </mergeCells>
  <dataValidations count="3">
    <dataValidation type="list" allowBlank="1" showInputMessage="1" showErrorMessage="1" sqref="H13:H44">
      <formula1>$Y$11:$AA$11</formula1>
    </dataValidation>
    <dataValidation type="list" allowBlank="1" showInputMessage="1" showErrorMessage="1" sqref="C13:C44">
      <formula1>"auf selbst bewirtschaft. Flächen, in eigene Biogasanlage, Abgabe an andere Betriebe"</formula1>
    </dataValidation>
    <dataValidation type="list" allowBlank="1" showInputMessage="1" showErrorMessage="1" sqref="B13:B44">
      <formula1>Tierhaltungsform</formula1>
    </dataValidation>
  </dataValidation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9" tint="0.59999389629810485"/>
  </sheetPr>
  <dimension ref="A1:K114"/>
  <sheetViews>
    <sheetView topLeftCell="A43" zoomScale="90" zoomScaleNormal="90" workbookViewId="0">
      <selection activeCell="A9" sqref="A9"/>
    </sheetView>
  </sheetViews>
  <sheetFormatPr baseColWidth="10" defaultRowHeight="15.75"/>
  <cols>
    <col min="1" max="1" width="14.42578125" style="70" customWidth="1"/>
    <col min="2" max="2" width="37.140625" style="70" customWidth="1"/>
    <col min="3" max="3" width="25" style="70" customWidth="1"/>
    <col min="4" max="4" width="14.7109375" style="70" customWidth="1"/>
    <col min="5" max="5" width="20.140625" style="70" customWidth="1"/>
    <col min="6" max="8" width="8.5703125" style="70" customWidth="1"/>
    <col min="9" max="11" width="9.85546875" style="70" customWidth="1"/>
    <col min="12" max="16384" width="11.42578125" style="70"/>
  </cols>
  <sheetData>
    <row r="1" spans="1:11" ht="18.75" customHeight="1">
      <c r="A1" s="858"/>
      <c r="B1" s="1223" t="s">
        <v>1126</v>
      </c>
      <c r="C1" s="1223"/>
      <c r="D1" s="1223"/>
      <c r="E1" s="1223"/>
    </row>
    <row r="2" spans="1:11" ht="15.75" customHeight="1" thickBot="1">
      <c r="B2" s="1223"/>
      <c r="C2" s="1223"/>
      <c r="D2" s="1223"/>
      <c r="E2" s="1223"/>
    </row>
    <row r="3" spans="1:11" s="339" customFormat="1" ht="15.75" customHeight="1">
      <c r="A3" s="298"/>
      <c r="B3" s="1158" t="s">
        <v>418</v>
      </c>
      <c r="C3" s="1159"/>
      <c r="D3" s="1159"/>
      <c r="E3" s="1405"/>
      <c r="F3" s="517"/>
    </row>
    <row r="4" spans="1:11" s="339" customFormat="1" ht="15.75" customHeight="1">
      <c r="B4" s="1161"/>
      <c r="C4" s="1162"/>
      <c r="D4" s="1162"/>
      <c r="E4" s="1406"/>
      <c r="F4" s="517"/>
    </row>
    <row r="5" spans="1:11" ht="16.5" thickBot="1">
      <c r="B5" s="1164"/>
      <c r="C5" s="1165"/>
      <c r="D5" s="1165"/>
      <c r="E5" s="1407"/>
      <c r="F5" s="517"/>
    </row>
    <row r="7" spans="1:11" s="13" customFormat="1" ht="18" customHeight="1">
      <c r="A7" s="369"/>
      <c r="B7" s="868" t="s">
        <v>249</v>
      </c>
      <c r="C7" s="370"/>
      <c r="D7" s="16"/>
      <c r="E7" s="371"/>
      <c r="F7" s="1308" t="s">
        <v>17</v>
      </c>
      <c r="G7" s="1306"/>
      <c r="H7" s="1307"/>
      <c r="I7" s="1308" t="s">
        <v>444</v>
      </c>
      <c r="J7" s="1306"/>
      <c r="K7" s="1307"/>
    </row>
    <row r="8" spans="1:11" s="13" customFormat="1" ht="18" customHeight="1">
      <c r="A8" s="313" t="s">
        <v>351</v>
      </c>
      <c r="B8" s="330" t="s">
        <v>400</v>
      </c>
      <c r="C8" s="334" t="s">
        <v>553</v>
      </c>
      <c r="D8" s="334" t="s">
        <v>18</v>
      </c>
      <c r="E8" s="333"/>
      <c r="F8" s="333" t="s">
        <v>16</v>
      </c>
      <c r="G8" s="333" t="s">
        <v>113</v>
      </c>
      <c r="H8" s="333" t="s">
        <v>114</v>
      </c>
      <c r="I8" s="333" t="s">
        <v>16</v>
      </c>
      <c r="J8" s="333" t="s">
        <v>113</v>
      </c>
      <c r="K8" s="333" t="s">
        <v>114</v>
      </c>
    </row>
    <row r="9" spans="1:11">
      <c r="A9" s="854"/>
      <c r="B9" s="855" t="s">
        <v>163</v>
      </c>
      <c r="C9" s="836">
        <v>0</v>
      </c>
      <c r="D9" s="856">
        <v>0</v>
      </c>
      <c r="E9" s="124"/>
      <c r="F9" s="106">
        <f>VLOOKUP($B9,'Daten Tiere'!$B$11:$E$25,2,FALSE)</f>
        <v>0</v>
      </c>
      <c r="G9" s="106">
        <f>VLOOKUP($B9,'Daten Tiere'!$B$11:$E$25,3,FALSE)</f>
        <v>0</v>
      </c>
      <c r="H9" s="106">
        <f>VLOOKUP($B9,'Daten Tiere'!$B$11:$E$25,4,FALSE)</f>
        <v>0</v>
      </c>
      <c r="I9" s="470">
        <f>C9*D9/1000*F9</f>
        <v>0</v>
      </c>
      <c r="J9" s="470">
        <f>C9*D9/1000*G9</f>
        <v>0</v>
      </c>
      <c r="K9" s="470">
        <f>C9*D9/1000*H9</f>
        <v>0</v>
      </c>
    </row>
    <row r="10" spans="1:11" s="233" customFormat="1">
      <c r="A10" s="854"/>
      <c r="B10" s="855" t="s">
        <v>163</v>
      </c>
      <c r="C10" s="836">
        <v>0</v>
      </c>
      <c r="D10" s="856">
        <v>0</v>
      </c>
      <c r="E10" s="124"/>
      <c r="F10" s="106">
        <f>VLOOKUP($B10,'Daten Tiere'!$B$11:$E$25,2,FALSE)</f>
        <v>0</v>
      </c>
      <c r="G10" s="106">
        <f>VLOOKUP($B10,'Daten Tiere'!$B$11:$E$25,3,FALSE)</f>
        <v>0</v>
      </c>
      <c r="H10" s="106">
        <f>VLOOKUP($B10,'Daten Tiere'!$B$11:$E$25,4,FALSE)</f>
        <v>0</v>
      </c>
      <c r="I10" s="470">
        <f t="shared" ref="I10:I35" si="0">C10*D10/1000*F10</f>
        <v>0</v>
      </c>
      <c r="J10" s="470">
        <f>C10*D10/1000*G10</f>
        <v>0</v>
      </c>
      <c r="K10" s="470">
        <f t="shared" ref="K10:K35" si="1">C10*D10/1000*H10</f>
        <v>0</v>
      </c>
    </row>
    <row r="11" spans="1:11" s="233" customFormat="1">
      <c r="A11" s="854"/>
      <c r="B11" s="855" t="s">
        <v>163</v>
      </c>
      <c r="C11" s="836">
        <v>0</v>
      </c>
      <c r="D11" s="856">
        <v>0</v>
      </c>
      <c r="E11" s="124"/>
      <c r="F11" s="106">
        <f>VLOOKUP($B11,'Daten Tiere'!$B$11:$E$25,2,FALSE)</f>
        <v>0</v>
      </c>
      <c r="G11" s="106">
        <f>VLOOKUP($B11,'Daten Tiere'!$B$11:$E$25,3,FALSE)</f>
        <v>0</v>
      </c>
      <c r="H11" s="106">
        <f>VLOOKUP($B11,'Daten Tiere'!$B$11:$E$25,4,FALSE)</f>
        <v>0</v>
      </c>
      <c r="I11" s="470">
        <f t="shared" si="0"/>
        <v>0</v>
      </c>
      <c r="J11" s="470">
        <f t="shared" ref="J11:J35" si="2">C11*D11/1000*G11</f>
        <v>0</v>
      </c>
      <c r="K11" s="470">
        <f t="shared" si="1"/>
        <v>0</v>
      </c>
    </row>
    <row r="12" spans="1:11" s="233" customFormat="1">
      <c r="A12" s="854"/>
      <c r="B12" s="855" t="s">
        <v>163</v>
      </c>
      <c r="C12" s="836">
        <v>0</v>
      </c>
      <c r="D12" s="856">
        <v>0</v>
      </c>
      <c r="E12" s="124"/>
      <c r="F12" s="106">
        <f>VLOOKUP($B12,'Daten Tiere'!$B$11:$E$25,2,FALSE)</f>
        <v>0</v>
      </c>
      <c r="G12" s="106">
        <f>VLOOKUP($B12,'Daten Tiere'!$B$11:$E$25,3,FALSE)</f>
        <v>0</v>
      </c>
      <c r="H12" s="106">
        <f>VLOOKUP($B12,'Daten Tiere'!$B$11:$E$25,4,FALSE)</f>
        <v>0</v>
      </c>
      <c r="I12" s="470">
        <f t="shared" si="0"/>
        <v>0</v>
      </c>
      <c r="J12" s="470">
        <f t="shared" si="2"/>
        <v>0</v>
      </c>
      <c r="K12" s="470">
        <f t="shared" si="1"/>
        <v>0</v>
      </c>
    </row>
    <row r="13" spans="1:11" s="233" customFormat="1">
      <c r="A13" s="854"/>
      <c r="B13" s="855" t="s">
        <v>163</v>
      </c>
      <c r="C13" s="836">
        <v>0</v>
      </c>
      <c r="D13" s="856">
        <v>0</v>
      </c>
      <c r="E13" s="124"/>
      <c r="F13" s="106">
        <f>VLOOKUP($B13,'Daten Tiere'!$B$11:$E$25,2,FALSE)</f>
        <v>0</v>
      </c>
      <c r="G13" s="106">
        <f>VLOOKUP($B13,'Daten Tiere'!$B$11:$E$25,3,FALSE)</f>
        <v>0</v>
      </c>
      <c r="H13" s="106">
        <f>VLOOKUP($B13,'Daten Tiere'!$B$11:$E$25,4,FALSE)</f>
        <v>0</v>
      </c>
      <c r="I13" s="470">
        <f t="shared" si="0"/>
        <v>0</v>
      </c>
      <c r="J13" s="470">
        <f t="shared" si="2"/>
        <v>0</v>
      </c>
      <c r="K13" s="470">
        <f t="shared" si="1"/>
        <v>0</v>
      </c>
    </row>
    <row r="14" spans="1:11" s="233" customFormat="1">
      <c r="A14" s="854"/>
      <c r="B14" s="855" t="s">
        <v>163</v>
      </c>
      <c r="C14" s="836">
        <v>0</v>
      </c>
      <c r="D14" s="856">
        <v>0</v>
      </c>
      <c r="E14" s="124"/>
      <c r="F14" s="106">
        <f>VLOOKUP($B14,'Daten Tiere'!$B$11:$E$25,2,FALSE)</f>
        <v>0</v>
      </c>
      <c r="G14" s="106">
        <f>VLOOKUP($B14,'Daten Tiere'!$B$11:$E$25,3,FALSE)</f>
        <v>0</v>
      </c>
      <c r="H14" s="106">
        <f>VLOOKUP($B14,'Daten Tiere'!$B$11:$E$25,4,FALSE)</f>
        <v>0</v>
      </c>
      <c r="I14" s="470">
        <f t="shared" si="0"/>
        <v>0</v>
      </c>
      <c r="J14" s="470">
        <f t="shared" si="2"/>
        <v>0</v>
      </c>
      <c r="K14" s="470">
        <f t="shared" si="1"/>
        <v>0</v>
      </c>
    </row>
    <row r="15" spans="1:11" s="233" customFormat="1">
      <c r="A15" s="854"/>
      <c r="B15" s="855" t="s">
        <v>163</v>
      </c>
      <c r="C15" s="836">
        <v>0</v>
      </c>
      <c r="D15" s="856">
        <v>0</v>
      </c>
      <c r="E15" s="124"/>
      <c r="F15" s="106">
        <f>VLOOKUP($B15,'Daten Tiere'!$B$11:$E$25,2,FALSE)</f>
        <v>0</v>
      </c>
      <c r="G15" s="106">
        <f>VLOOKUP($B15,'Daten Tiere'!$B$11:$E$25,3,FALSE)</f>
        <v>0</v>
      </c>
      <c r="H15" s="106">
        <f>VLOOKUP($B15,'Daten Tiere'!$B$11:$E$25,4,FALSE)</f>
        <v>0</v>
      </c>
      <c r="I15" s="470">
        <f t="shared" si="0"/>
        <v>0</v>
      </c>
      <c r="J15" s="470">
        <f t="shared" si="2"/>
        <v>0</v>
      </c>
      <c r="K15" s="470">
        <f t="shared" si="1"/>
        <v>0</v>
      </c>
    </row>
    <row r="16" spans="1:11" s="233" customFormat="1">
      <c r="A16" s="854"/>
      <c r="B16" s="855" t="s">
        <v>163</v>
      </c>
      <c r="C16" s="836">
        <v>0</v>
      </c>
      <c r="D16" s="856">
        <v>0</v>
      </c>
      <c r="E16" s="124"/>
      <c r="F16" s="106">
        <f>VLOOKUP($B16,'Daten Tiere'!$B$11:$E$25,2,FALSE)</f>
        <v>0</v>
      </c>
      <c r="G16" s="106">
        <f>VLOOKUP($B16,'Daten Tiere'!$B$11:$E$25,3,FALSE)</f>
        <v>0</v>
      </c>
      <c r="H16" s="106">
        <f>VLOOKUP($B16,'Daten Tiere'!$B$11:$E$25,4,FALSE)</f>
        <v>0</v>
      </c>
      <c r="I16" s="470">
        <f t="shared" si="0"/>
        <v>0</v>
      </c>
      <c r="J16" s="470">
        <f t="shared" si="2"/>
        <v>0</v>
      </c>
      <c r="K16" s="470">
        <f t="shared" si="1"/>
        <v>0</v>
      </c>
    </row>
    <row r="17" spans="1:11" s="233" customFormat="1">
      <c r="A17" s="854"/>
      <c r="B17" s="855" t="s">
        <v>163</v>
      </c>
      <c r="C17" s="836">
        <v>0</v>
      </c>
      <c r="D17" s="856">
        <v>0</v>
      </c>
      <c r="E17" s="124"/>
      <c r="F17" s="106">
        <f>VLOOKUP($B17,'Daten Tiere'!$B$11:$E$25,2,FALSE)</f>
        <v>0</v>
      </c>
      <c r="G17" s="106">
        <f>VLOOKUP($B17,'Daten Tiere'!$B$11:$E$25,3,FALSE)</f>
        <v>0</v>
      </c>
      <c r="H17" s="106">
        <f>VLOOKUP($B17,'Daten Tiere'!$B$11:$E$25,4,FALSE)</f>
        <v>0</v>
      </c>
      <c r="I17" s="470">
        <f t="shared" si="0"/>
        <v>0</v>
      </c>
      <c r="J17" s="470">
        <f t="shared" si="2"/>
        <v>0</v>
      </c>
      <c r="K17" s="470">
        <f t="shared" si="1"/>
        <v>0</v>
      </c>
    </row>
    <row r="18" spans="1:11" s="233" customFormat="1">
      <c r="A18" s="854"/>
      <c r="B18" s="855" t="s">
        <v>163</v>
      </c>
      <c r="C18" s="836">
        <v>0</v>
      </c>
      <c r="D18" s="856">
        <v>0</v>
      </c>
      <c r="E18" s="124"/>
      <c r="F18" s="106">
        <f>VLOOKUP($B18,'Daten Tiere'!$B$11:$E$25,2,FALSE)</f>
        <v>0</v>
      </c>
      <c r="G18" s="106">
        <f>VLOOKUP($B18,'Daten Tiere'!$B$11:$E$25,3,FALSE)</f>
        <v>0</v>
      </c>
      <c r="H18" s="106">
        <f>VLOOKUP($B18,'Daten Tiere'!$B$11:$E$25,4,FALSE)</f>
        <v>0</v>
      </c>
      <c r="I18" s="470">
        <f t="shared" si="0"/>
        <v>0</v>
      </c>
      <c r="J18" s="470">
        <f t="shared" si="2"/>
        <v>0</v>
      </c>
      <c r="K18" s="470">
        <f t="shared" si="1"/>
        <v>0</v>
      </c>
    </row>
    <row r="19" spans="1:11" s="233" customFormat="1">
      <c r="A19" s="854"/>
      <c r="B19" s="855" t="s">
        <v>163</v>
      </c>
      <c r="C19" s="836">
        <v>0</v>
      </c>
      <c r="D19" s="856">
        <v>0</v>
      </c>
      <c r="E19" s="124"/>
      <c r="F19" s="106">
        <f>VLOOKUP($B19,'Daten Tiere'!$B$11:$E$25,2,FALSE)</f>
        <v>0</v>
      </c>
      <c r="G19" s="106">
        <f>VLOOKUP($B19,'Daten Tiere'!$B$11:$E$25,3,FALSE)</f>
        <v>0</v>
      </c>
      <c r="H19" s="106">
        <f>VLOOKUP($B19,'Daten Tiere'!$B$11:$E$25,4,FALSE)</f>
        <v>0</v>
      </c>
      <c r="I19" s="470">
        <f>C19*D19/1000*F19</f>
        <v>0</v>
      </c>
      <c r="J19" s="470">
        <f t="shared" si="2"/>
        <v>0</v>
      </c>
      <c r="K19" s="470">
        <f t="shared" si="1"/>
        <v>0</v>
      </c>
    </row>
    <row r="20" spans="1:11" s="233" customFormat="1">
      <c r="A20" s="854"/>
      <c r="B20" s="855" t="s">
        <v>163</v>
      </c>
      <c r="C20" s="836">
        <v>0</v>
      </c>
      <c r="D20" s="856">
        <v>0</v>
      </c>
      <c r="E20" s="124"/>
      <c r="F20" s="106">
        <f>VLOOKUP($B20,'Daten Tiere'!$B$11:$E$25,2,FALSE)</f>
        <v>0</v>
      </c>
      <c r="G20" s="106">
        <f>VLOOKUP($B20,'Daten Tiere'!$B$11:$E$25,3,FALSE)</f>
        <v>0</v>
      </c>
      <c r="H20" s="106">
        <f>VLOOKUP($B20,'Daten Tiere'!$B$11:$E$25,4,FALSE)</f>
        <v>0</v>
      </c>
      <c r="I20" s="470">
        <f t="shared" si="0"/>
        <v>0</v>
      </c>
      <c r="J20" s="470">
        <f t="shared" si="2"/>
        <v>0</v>
      </c>
      <c r="K20" s="470">
        <f t="shared" si="1"/>
        <v>0</v>
      </c>
    </row>
    <row r="21" spans="1:11" s="233" customFormat="1">
      <c r="A21" s="854"/>
      <c r="B21" s="855" t="s">
        <v>163</v>
      </c>
      <c r="C21" s="836">
        <v>0</v>
      </c>
      <c r="D21" s="856">
        <v>0</v>
      </c>
      <c r="E21" s="124"/>
      <c r="F21" s="106">
        <f>VLOOKUP($B21,'Daten Tiere'!$B$11:$E$25,2,FALSE)</f>
        <v>0</v>
      </c>
      <c r="G21" s="106">
        <f>VLOOKUP($B21,'Daten Tiere'!$B$11:$E$25,3,FALSE)</f>
        <v>0</v>
      </c>
      <c r="H21" s="106">
        <f>VLOOKUP($B21,'Daten Tiere'!$B$11:$E$25,4,FALSE)</f>
        <v>0</v>
      </c>
      <c r="I21" s="470">
        <f t="shared" si="0"/>
        <v>0</v>
      </c>
      <c r="J21" s="470">
        <f t="shared" si="2"/>
        <v>0</v>
      </c>
      <c r="K21" s="470">
        <f t="shared" si="1"/>
        <v>0</v>
      </c>
    </row>
    <row r="22" spans="1:11" s="233" customFormat="1">
      <c r="A22" s="854"/>
      <c r="B22" s="855" t="s">
        <v>163</v>
      </c>
      <c r="C22" s="836">
        <v>0</v>
      </c>
      <c r="D22" s="856">
        <v>0</v>
      </c>
      <c r="E22" s="124"/>
      <c r="F22" s="106">
        <f>VLOOKUP($B22,'Daten Tiere'!$B$11:$E$25,2,FALSE)</f>
        <v>0</v>
      </c>
      <c r="G22" s="106">
        <f>VLOOKUP($B22,'Daten Tiere'!$B$11:$E$25,3,FALSE)</f>
        <v>0</v>
      </c>
      <c r="H22" s="106">
        <f>VLOOKUP($B22,'Daten Tiere'!$B$11:$E$25,4,FALSE)</f>
        <v>0</v>
      </c>
      <c r="I22" s="470">
        <f t="shared" si="0"/>
        <v>0</v>
      </c>
      <c r="J22" s="470">
        <f t="shared" si="2"/>
        <v>0</v>
      </c>
      <c r="K22" s="470">
        <f t="shared" si="1"/>
        <v>0</v>
      </c>
    </row>
    <row r="23" spans="1:11" s="233" customFormat="1">
      <c r="A23" s="854"/>
      <c r="B23" s="855" t="s">
        <v>163</v>
      </c>
      <c r="C23" s="836">
        <v>0</v>
      </c>
      <c r="D23" s="856">
        <v>0</v>
      </c>
      <c r="E23" s="124"/>
      <c r="F23" s="106">
        <f>VLOOKUP($B23,'Daten Tiere'!$B$11:$E$25,2,FALSE)</f>
        <v>0</v>
      </c>
      <c r="G23" s="106">
        <f>VLOOKUP($B23,'Daten Tiere'!$B$11:$E$25,3,FALSE)</f>
        <v>0</v>
      </c>
      <c r="H23" s="106">
        <f>VLOOKUP($B23,'Daten Tiere'!$B$11:$E$25,4,FALSE)</f>
        <v>0</v>
      </c>
      <c r="I23" s="470">
        <f t="shared" si="0"/>
        <v>0</v>
      </c>
      <c r="J23" s="470">
        <f t="shared" si="2"/>
        <v>0</v>
      </c>
      <c r="K23" s="470">
        <f t="shared" si="1"/>
        <v>0</v>
      </c>
    </row>
    <row r="24" spans="1:11" s="233" customFormat="1">
      <c r="A24" s="854"/>
      <c r="B24" s="855" t="s">
        <v>163</v>
      </c>
      <c r="C24" s="836">
        <v>0</v>
      </c>
      <c r="D24" s="856">
        <v>0</v>
      </c>
      <c r="E24" s="124"/>
      <c r="F24" s="106">
        <f>VLOOKUP($B24,'Daten Tiere'!$B$11:$E$25,2,FALSE)</f>
        <v>0</v>
      </c>
      <c r="G24" s="106">
        <f>VLOOKUP($B24,'Daten Tiere'!$B$11:$E$25,3,FALSE)</f>
        <v>0</v>
      </c>
      <c r="H24" s="106">
        <f>VLOOKUP($B24,'Daten Tiere'!$B$11:$E$25,4,FALSE)</f>
        <v>0</v>
      </c>
      <c r="I24" s="470">
        <f t="shared" si="0"/>
        <v>0</v>
      </c>
      <c r="J24" s="470">
        <f t="shared" si="2"/>
        <v>0</v>
      </c>
      <c r="K24" s="470">
        <f t="shared" si="1"/>
        <v>0</v>
      </c>
    </row>
    <row r="25" spans="1:11" s="233" customFormat="1">
      <c r="A25" s="854"/>
      <c r="B25" s="855" t="s">
        <v>163</v>
      </c>
      <c r="C25" s="836">
        <v>0</v>
      </c>
      <c r="D25" s="856">
        <v>0</v>
      </c>
      <c r="E25" s="124"/>
      <c r="F25" s="106">
        <f>VLOOKUP($B25,'Daten Tiere'!$B$11:$E$25,2,FALSE)</f>
        <v>0</v>
      </c>
      <c r="G25" s="106">
        <f>VLOOKUP($B25,'Daten Tiere'!$B$11:$E$25,3,FALSE)</f>
        <v>0</v>
      </c>
      <c r="H25" s="106">
        <f>VLOOKUP($B25,'Daten Tiere'!$B$11:$E$25,4,FALSE)</f>
        <v>0</v>
      </c>
      <c r="I25" s="470">
        <f t="shared" si="0"/>
        <v>0</v>
      </c>
      <c r="J25" s="470">
        <f t="shared" si="2"/>
        <v>0</v>
      </c>
      <c r="K25" s="470">
        <f t="shared" si="1"/>
        <v>0</v>
      </c>
    </row>
    <row r="26" spans="1:11" s="233" customFormat="1">
      <c r="A26" s="854"/>
      <c r="B26" s="855" t="s">
        <v>163</v>
      </c>
      <c r="C26" s="836">
        <v>0</v>
      </c>
      <c r="D26" s="856">
        <v>0</v>
      </c>
      <c r="E26" s="124"/>
      <c r="F26" s="106">
        <f>VLOOKUP($B26,'Daten Tiere'!$B$11:$E$25,2,FALSE)</f>
        <v>0</v>
      </c>
      <c r="G26" s="106">
        <f>VLOOKUP($B26,'Daten Tiere'!$B$11:$E$25,3,FALSE)</f>
        <v>0</v>
      </c>
      <c r="H26" s="106">
        <f>VLOOKUP($B26,'Daten Tiere'!$B$11:$E$25,4,FALSE)</f>
        <v>0</v>
      </c>
      <c r="I26" s="470">
        <f t="shared" si="0"/>
        <v>0</v>
      </c>
      <c r="J26" s="470">
        <f t="shared" si="2"/>
        <v>0</v>
      </c>
      <c r="K26" s="470">
        <f t="shared" si="1"/>
        <v>0</v>
      </c>
    </row>
    <row r="27" spans="1:11" s="233" customFormat="1">
      <c r="A27" s="854"/>
      <c r="B27" s="855" t="s">
        <v>163</v>
      </c>
      <c r="C27" s="836">
        <v>0</v>
      </c>
      <c r="D27" s="856">
        <v>0</v>
      </c>
      <c r="E27" s="124"/>
      <c r="F27" s="106">
        <f>VLOOKUP($B27,'Daten Tiere'!$B$11:$E$25,2,FALSE)</f>
        <v>0</v>
      </c>
      <c r="G27" s="106">
        <f>VLOOKUP($B27,'Daten Tiere'!$B$11:$E$25,3,FALSE)</f>
        <v>0</v>
      </c>
      <c r="H27" s="106">
        <f>VLOOKUP($B27,'Daten Tiere'!$B$11:$E$25,4,FALSE)</f>
        <v>0</v>
      </c>
      <c r="I27" s="470">
        <f t="shared" si="0"/>
        <v>0</v>
      </c>
      <c r="J27" s="470">
        <f t="shared" si="2"/>
        <v>0</v>
      </c>
      <c r="K27" s="470">
        <f t="shared" si="1"/>
        <v>0</v>
      </c>
    </row>
    <row r="28" spans="1:11" s="233" customFormat="1">
      <c r="A28" s="854"/>
      <c r="B28" s="855" t="s">
        <v>163</v>
      </c>
      <c r="C28" s="836">
        <v>0</v>
      </c>
      <c r="D28" s="856">
        <v>0</v>
      </c>
      <c r="E28" s="124"/>
      <c r="F28" s="106">
        <f>VLOOKUP($B28,'Daten Tiere'!$B$11:$E$25,2,FALSE)</f>
        <v>0</v>
      </c>
      <c r="G28" s="106">
        <f>VLOOKUP($B28,'Daten Tiere'!$B$11:$E$25,3,FALSE)</f>
        <v>0</v>
      </c>
      <c r="H28" s="106">
        <f>VLOOKUP($B28,'Daten Tiere'!$B$11:$E$25,4,FALSE)</f>
        <v>0</v>
      </c>
      <c r="I28" s="470">
        <f t="shared" si="0"/>
        <v>0</v>
      </c>
      <c r="J28" s="470">
        <f t="shared" si="2"/>
        <v>0</v>
      </c>
      <c r="K28" s="470">
        <f t="shared" si="1"/>
        <v>0</v>
      </c>
    </row>
    <row r="29" spans="1:11" s="233" customFormat="1">
      <c r="A29" s="854"/>
      <c r="B29" s="855" t="s">
        <v>163</v>
      </c>
      <c r="C29" s="836">
        <v>0</v>
      </c>
      <c r="D29" s="856">
        <v>0</v>
      </c>
      <c r="E29" s="124"/>
      <c r="F29" s="106">
        <f>VLOOKUP($B29,'Daten Tiere'!$B$11:$E$25,2,FALSE)</f>
        <v>0</v>
      </c>
      <c r="G29" s="106">
        <f>VLOOKUP($B29,'Daten Tiere'!$B$11:$E$25,3,FALSE)</f>
        <v>0</v>
      </c>
      <c r="H29" s="106">
        <f>VLOOKUP($B29,'Daten Tiere'!$B$11:$E$25,4,FALSE)</f>
        <v>0</v>
      </c>
      <c r="I29" s="470">
        <f t="shared" si="0"/>
        <v>0</v>
      </c>
      <c r="J29" s="470">
        <f t="shared" si="2"/>
        <v>0</v>
      </c>
      <c r="K29" s="470">
        <f t="shared" si="1"/>
        <v>0</v>
      </c>
    </row>
    <row r="30" spans="1:11" s="233" customFormat="1">
      <c r="A30" s="854"/>
      <c r="B30" s="855" t="s">
        <v>163</v>
      </c>
      <c r="C30" s="836">
        <v>0</v>
      </c>
      <c r="D30" s="856">
        <v>0</v>
      </c>
      <c r="E30" s="124"/>
      <c r="F30" s="106">
        <f>VLOOKUP($B30,'Daten Tiere'!$B$11:$E$25,2,FALSE)</f>
        <v>0</v>
      </c>
      <c r="G30" s="106">
        <f>VLOOKUP($B30,'Daten Tiere'!$B$11:$E$25,3,FALSE)</f>
        <v>0</v>
      </c>
      <c r="H30" s="106">
        <f>VLOOKUP($B30,'Daten Tiere'!$B$11:$E$25,4,FALSE)</f>
        <v>0</v>
      </c>
      <c r="I30" s="470">
        <f t="shared" si="0"/>
        <v>0</v>
      </c>
      <c r="J30" s="470">
        <f t="shared" si="2"/>
        <v>0</v>
      </c>
      <c r="K30" s="470">
        <f t="shared" si="1"/>
        <v>0</v>
      </c>
    </row>
    <row r="31" spans="1:11" s="233" customFormat="1">
      <c r="A31" s="854"/>
      <c r="B31" s="855" t="s">
        <v>163</v>
      </c>
      <c r="C31" s="836">
        <v>0</v>
      </c>
      <c r="D31" s="856">
        <v>0</v>
      </c>
      <c r="E31" s="124"/>
      <c r="F31" s="106">
        <f>VLOOKUP($B31,'Daten Tiere'!$B$11:$E$25,2,FALSE)</f>
        <v>0</v>
      </c>
      <c r="G31" s="106">
        <f>VLOOKUP($B31,'Daten Tiere'!$B$11:$E$25,3,FALSE)</f>
        <v>0</v>
      </c>
      <c r="H31" s="106">
        <f>VLOOKUP($B31,'Daten Tiere'!$B$11:$E$25,4,FALSE)</f>
        <v>0</v>
      </c>
      <c r="I31" s="470">
        <f t="shared" si="0"/>
        <v>0</v>
      </c>
      <c r="J31" s="470">
        <f t="shared" si="2"/>
        <v>0</v>
      </c>
      <c r="K31" s="470">
        <f t="shared" si="1"/>
        <v>0</v>
      </c>
    </row>
    <row r="32" spans="1:11">
      <c r="A32" s="854"/>
      <c r="B32" s="855" t="s">
        <v>163</v>
      </c>
      <c r="C32" s="836">
        <v>0</v>
      </c>
      <c r="D32" s="856">
        <v>0</v>
      </c>
      <c r="E32" s="124"/>
      <c r="F32" s="106">
        <f>VLOOKUP($B32,'Daten Tiere'!$B$11:$E$25,2,FALSE)</f>
        <v>0</v>
      </c>
      <c r="G32" s="106">
        <f>VLOOKUP($B32,'Daten Tiere'!$B$11:$E$25,3,FALSE)</f>
        <v>0</v>
      </c>
      <c r="H32" s="106">
        <f>VLOOKUP($B32,'Daten Tiere'!$B$11:$E$25,4,FALSE)</f>
        <v>0</v>
      </c>
      <c r="I32" s="470">
        <f t="shared" si="0"/>
        <v>0</v>
      </c>
      <c r="J32" s="470">
        <f t="shared" si="2"/>
        <v>0</v>
      </c>
      <c r="K32" s="470">
        <f t="shared" si="1"/>
        <v>0</v>
      </c>
    </row>
    <row r="33" spans="1:11">
      <c r="A33" s="854"/>
      <c r="B33" s="855" t="s">
        <v>163</v>
      </c>
      <c r="C33" s="836">
        <v>0</v>
      </c>
      <c r="D33" s="856">
        <v>0</v>
      </c>
      <c r="E33" s="124"/>
      <c r="F33" s="106">
        <f>VLOOKUP($B33,'Daten Tiere'!$B$11:$E$25,2,FALSE)</f>
        <v>0</v>
      </c>
      <c r="G33" s="106">
        <f>VLOOKUP($B33,'Daten Tiere'!$B$11:$E$25,3,FALSE)</f>
        <v>0</v>
      </c>
      <c r="H33" s="106">
        <f>VLOOKUP($B33,'Daten Tiere'!$B$11:$E$25,4,FALSE)</f>
        <v>0</v>
      </c>
      <c r="I33" s="470">
        <f t="shared" si="0"/>
        <v>0</v>
      </c>
      <c r="J33" s="470">
        <f t="shared" si="2"/>
        <v>0</v>
      </c>
      <c r="K33" s="470">
        <f t="shared" si="1"/>
        <v>0</v>
      </c>
    </row>
    <row r="34" spans="1:11">
      <c r="A34" s="854"/>
      <c r="B34" s="855" t="s">
        <v>163</v>
      </c>
      <c r="C34" s="836">
        <v>0</v>
      </c>
      <c r="D34" s="856">
        <v>0</v>
      </c>
      <c r="E34" s="124"/>
      <c r="F34" s="106">
        <f>VLOOKUP($B34,'Daten Tiere'!$B$11:$E$25,2,FALSE)</f>
        <v>0</v>
      </c>
      <c r="G34" s="106">
        <f>VLOOKUP($B34,'Daten Tiere'!$B$11:$E$25,3,FALSE)</f>
        <v>0</v>
      </c>
      <c r="H34" s="106">
        <f>VLOOKUP($B34,'Daten Tiere'!$B$11:$E$25,4,FALSE)</f>
        <v>0</v>
      </c>
      <c r="I34" s="470">
        <f t="shared" si="0"/>
        <v>0</v>
      </c>
      <c r="J34" s="470">
        <f t="shared" si="2"/>
        <v>0</v>
      </c>
      <c r="K34" s="470">
        <f t="shared" si="1"/>
        <v>0</v>
      </c>
    </row>
    <row r="35" spans="1:11">
      <c r="A35" s="854"/>
      <c r="B35" s="855" t="s">
        <v>163</v>
      </c>
      <c r="C35" s="836">
        <v>0</v>
      </c>
      <c r="D35" s="856">
        <v>0</v>
      </c>
      <c r="E35" s="124"/>
      <c r="F35" s="106">
        <f>VLOOKUP($B35,'Daten Tiere'!$B$11:$E$25,2,FALSE)</f>
        <v>0</v>
      </c>
      <c r="G35" s="106">
        <f>VLOOKUP($B35,'Daten Tiere'!$B$11:$E$25,3,FALSE)</f>
        <v>0</v>
      </c>
      <c r="H35" s="106">
        <f>VLOOKUP($B35,'Daten Tiere'!$B$11:$E$25,4,FALSE)</f>
        <v>0</v>
      </c>
      <c r="I35" s="470">
        <f t="shared" si="0"/>
        <v>0</v>
      </c>
      <c r="J35" s="470">
        <f t="shared" si="2"/>
        <v>0</v>
      </c>
      <c r="K35" s="470">
        <f t="shared" si="1"/>
        <v>0</v>
      </c>
    </row>
    <row r="36" spans="1:11" s="557" customFormat="1" ht="17.25" customHeight="1">
      <c r="B36" s="302"/>
      <c r="C36" s="302"/>
      <c r="D36" s="302"/>
      <c r="E36" s="302"/>
      <c r="F36" s="302"/>
      <c r="G36" s="302"/>
      <c r="H36" s="302" t="s">
        <v>38</v>
      </c>
      <c r="I36" s="429">
        <f>SUM(I9:I35)</f>
        <v>0</v>
      </c>
      <c r="J36" s="429">
        <f>SUM(J9:J35)</f>
        <v>0</v>
      </c>
      <c r="K36" s="429">
        <f>SUM(K9:K35)</f>
        <v>0</v>
      </c>
    </row>
    <row r="38" spans="1:11" s="13" customFormat="1" ht="18" customHeight="1">
      <c r="A38" s="16"/>
      <c r="B38" s="869" t="s">
        <v>437</v>
      </c>
      <c r="C38" s="16"/>
      <c r="D38" s="16"/>
      <c r="E38" s="16"/>
      <c r="F38" s="1308" t="s">
        <v>17</v>
      </c>
      <c r="G38" s="1306"/>
      <c r="H38" s="1307"/>
      <c r="I38" s="1308" t="s">
        <v>444</v>
      </c>
      <c r="J38" s="1306"/>
      <c r="K38" s="1307"/>
    </row>
    <row r="39" spans="1:11" s="13" customFormat="1" ht="18">
      <c r="A39" s="313" t="s">
        <v>351</v>
      </c>
      <c r="B39" s="506" t="s">
        <v>400</v>
      </c>
      <c r="C39" s="407" t="s">
        <v>553</v>
      </c>
      <c r="D39" s="313" t="s">
        <v>18</v>
      </c>
      <c r="E39" s="336"/>
      <c r="F39" s="336" t="s">
        <v>16</v>
      </c>
      <c r="G39" s="336" t="s">
        <v>113</v>
      </c>
      <c r="H39" s="336" t="s">
        <v>114</v>
      </c>
      <c r="I39" s="336" t="s">
        <v>16</v>
      </c>
      <c r="J39" s="336" t="s">
        <v>113</v>
      </c>
      <c r="K39" s="336" t="s">
        <v>114</v>
      </c>
    </row>
    <row r="40" spans="1:11">
      <c r="A40" s="854"/>
      <c r="B40" s="842" t="s">
        <v>163</v>
      </c>
      <c r="C40" s="836">
        <v>0</v>
      </c>
      <c r="D40" s="857">
        <v>0</v>
      </c>
      <c r="E40" s="234"/>
      <c r="F40" s="23">
        <f>VLOOKUP(B40,'Daten Tiere'!$B$11:$E$25,2,FALSE)</f>
        <v>0</v>
      </c>
      <c r="G40" s="23">
        <f>VLOOKUP(B40,'Daten Tiere'!$B$11:$E$25,3,FALSE)</f>
        <v>0</v>
      </c>
      <c r="H40" s="23">
        <f>VLOOKUP(B40,'Daten Tiere'!$B$11:$E$25,4,FALSE)</f>
        <v>0</v>
      </c>
      <c r="I40" s="17">
        <f>IF(B40="leer",0,C40*D40/1000*F40)</f>
        <v>0</v>
      </c>
      <c r="J40" s="17">
        <f>IF(B40="leer",0,C40*D40/1000*G40)</f>
        <v>0</v>
      </c>
      <c r="K40" s="17">
        <f>IF(B40="leer",0,C40*D40/1000*H40)</f>
        <v>0</v>
      </c>
    </row>
    <row r="41" spans="1:11">
      <c r="A41" s="854"/>
      <c r="B41" s="842" t="s">
        <v>163</v>
      </c>
      <c r="C41" s="836">
        <v>0</v>
      </c>
      <c r="D41" s="857">
        <v>0</v>
      </c>
      <c r="E41" s="234"/>
      <c r="F41" s="23">
        <f>VLOOKUP(B41,'Daten Tiere'!$B$11:$E$25,2,FALSE)</f>
        <v>0</v>
      </c>
      <c r="G41" s="23">
        <f>VLOOKUP(B41,'Daten Tiere'!$B$11:$E$25,3,FALSE)</f>
        <v>0</v>
      </c>
      <c r="H41" s="23">
        <f>VLOOKUP(B41,'Daten Tiere'!$B$11:$E$25,4,FALSE)</f>
        <v>0</v>
      </c>
      <c r="I41" s="17">
        <f t="shared" ref="I41:I62" si="3">IF(B41="leer",0,C41*D41/1000*F41)</f>
        <v>0</v>
      </c>
      <c r="J41" s="17">
        <f t="shared" ref="J41:J62" si="4">IF(B41="leer",0,C41*D41/1000*G41)</f>
        <v>0</v>
      </c>
      <c r="K41" s="17">
        <f t="shared" ref="K41:K62" si="5">IF(B41="leer",0,C41*D41/1000*H41)</f>
        <v>0</v>
      </c>
    </row>
    <row r="42" spans="1:11">
      <c r="A42" s="854"/>
      <c r="B42" s="842" t="s">
        <v>163</v>
      </c>
      <c r="C42" s="836">
        <v>0</v>
      </c>
      <c r="D42" s="857">
        <v>0</v>
      </c>
      <c r="E42" s="234"/>
      <c r="F42" s="23">
        <f>VLOOKUP(B42,'Daten Tiere'!$B$11:$E$25,2,FALSE)</f>
        <v>0</v>
      </c>
      <c r="G42" s="23">
        <f>VLOOKUP(B42,'Daten Tiere'!$B$11:$E$25,3,FALSE)</f>
        <v>0</v>
      </c>
      <c r="H42" s="23">
        <f>VLOOKUP(B42,'Daten Tiere'!$B$11:$E$25,4,FALSE)</f>
        <v>0</v>
      </c>
      <c r="I42" s="17">
        <f t="shared" si="3"/>
        <v>0</v>
      </c>
      <c r="J42" s="17">
        <f t="shared" si="4"/>
        <v>0</v>
      </c>
      <c r="K42" s="17">
        <f t="shared" si="5"/>
        <v>0</v>
      </c>
    </row>
    <row r="43" spans="1:11">
      <c r="A43" s="854"/>
      <c r="B43" s="842" t="s">
        <v>163</v>
      </c>
      <c r="C43" s="836">
        <v>0</v>
      </c>
      <c r="D43" s="857">
        <v>0</v>
      </c>
      <c r="E43" s="234"/>
      <c r="F43" s="23">
        <f>VLOOKUP(B43,'Daten Tiere'!$B$11:$E$25,2,FALSE)</f>
        <v>0</v>
      </c>
      <c r="G43" s="23">
        <f>VLOOKUP(B43,'Daten Tiere'!$B$11:$E$25,3,FALSE)</f>
        <v>0</v>
      </c>
      <c r="H43" s="23">
        <f>VLOOKUP(B43,'Daten Tiere'!$B$11:$E$25,4,FALSE)</f>
        <v>0</v>
      </c>
      <c r="I43" s="17">
        <f t="shared" si="3"/>
        <v>0</v>
      </c>
      <c r="J43" s="17">
        <f t="shared" si="4"/>
        <v>0</v>
      </c>
      <c r="K43" s="17">
        <f t="shared" si="5"/>
        <v>0</v>
      </c>
    </row>
    <row r="44" spans="1:11">
      <c r="A44" s="854"/>
      <c r="B44" s="842" t="s">
        <v>163</v>
      </c>
      <c r="C44" s="836">
        <v>0</v>
      </c>
      <c r="D44" s="857">
        <v>0</v>
      </c>
      <c r="E44" s="234"/>
      <c r="F44" s="23">
        <f>VLOOKUP(B44,'Daten Tiere'!$B$11:$E$25,2,FALSE)</f>
        <v>0</v>
      </c>
      <c r="G44" s="23">
        <f>VLOOKUP(B44,'Daten Tiere'!$B$11:$E$25,3,FALSE)</f>
        <v>0</v>
      </c>
      <c r="H44" s="23">
        <f>VLOOKUP(B44,'Daten Tiere'!$B$11:$E$25,4,FALSE)</f>
        <v>0</v>
      </c>
      <c r="I44" s="17">
        <f t="shared" si="3"/>
        <v>0</v>
      </c>
      <c r="J44" s="17">
        <f t="shared" si="4"/>
        <v>0</v>
      </c>
      <c r="K44" s="17">
        <f t="shared" si="5"/>
        <v>0</v>
      </c>
    </row>
    <row r="45" spans="1:11">
      <c r="A45" s="854"/>
      <c r="B45" s="842" t="s">
        <v>163</v>
      </c>
      <c r="C45" s="836">
        <v>0</v>
      </c>
      <c r="D45" s="857">
        <v>0</v>
      </c>
      <c r="E45" s="234"/>
      <c r="F45" s="23">
        <f>VLOOKUP(B45,'Daten Tiere'!$B$11:$E$25,2,FALSE)</f>
        <v>0</v>
      </c>
      <c r="G45" s="23">
        <f>VLOOKUP(B45,'Daten Tiere'!$B$11:$E$25,3,FALSE)</f>
        <v>0</v>
      </c>
      <c r="H45" s="23">
        <f>VLOOKUP(B45,'Daten Tiere'!$B$11:$E$25,4,FALSE)</f>
        <v>0</v>
      </c>
      <c r="I45" s="17">
        <f t="shared" si="3"/>
        <v>0</v>
      </c>
      <c r="J45" s="17">
        <f t="shared" si="4"/>
        <v>0</v>
      </c>
      <c r="K45" s="17">
        <f t="shared" si="5"/>
        <v>0</v>
      </c>
    </row>
    <row r="46" spans="1:11">
      <c r="A46" s="854"/>
      <c r="B46" s="842" t="s">
        <v>163</v>
      </c>
      <c r="C46" s="836">
        <v>0</v>
      </c>
      <c r="D46" s="857">
        <v>0</v>
      </c>
      <c r="E46" s="234"/>
      <c r="F46" s="23">
        <f>VLOOKUP(B46,'Daten Tiere'!$B$11:$E$25,2,FALSE)</f>
        <v>0</v>
      </c>
      <c r="G46" s="23">
        <f>VLOOKUP(B46,'Daten Tiere'!$B$11:$E$25,3,FALSE)</f>
        <v>0</v>
      </c>
      <c r="H46" s="23">
        <f>VLOOKUP(B46,'Daten Tiere'!$B$11:$E$25,4,FALSE)</f>
        <v>0</v>
      </c>
      <c r="I46" s="17">
        <f t="shared" si="3"/>
        <v>0</v>
      </c>
      <c r="J46" s="17">
        <f t="shared" si="4"/>
        <v>0</v>
      </c>
      <c r="K46" s="17">
        <f t="shared" si="5"/>
        <v>0</v>
      </c>
    </row>
    <row r="47" spans="1:11">
      <c r="A47" s="854"/>
      <c r="B47" s="842" t="s">
        <v>163</v>
      </c>
      <c r="C47" s="836">
        <v>0</v>
      </c>
      <c r="D47" s="857">
        <v>0</v>
      </c>
      <c r="E47" s="234"/>
      <c r="F47" s="23">
        <f>VLOOKUP(B47,'Daten Tiere'!$B$11:$E$25,2,FALSE)</f>
        <v>0</v>
      </c>
      <c r="G47" s="23">
        <f>VLOOKUP(B47,'Daten Tiere'!$B$11:$E$25,3,FALSE)</f>
        <v>0</v>
      </c>
      <c r="H47" s="23">
        <f>VLOOKUP(B47,'Daten Tiere'!$B$11:$E$25,4,FALSE)</f>
        <v>0</v>
      </c>
      <c r="I47" s="17">
        <f t="shared" si="3"/>
        <v>0</v>
      </c>
      <c r="J47" s="17">
        <f t="shared" si="4"/>
        <v>0</v>
      </c>
      <c r="K47" s="17">
        <f t="shared" si="5"/>
        <v>0</v>
      </c>
    </row>
    <row r="48" spans="1:11">
      <c r="A48" s="854"/>
      <c r="B48" s="842" t="s">
        <v>163</v>
      </c>
      <c r="C48" s="836">
        <v>0</v>
      </c>
      <c r="D48" s="857">
        <v>0</v>
      </c>
      <c r="E48" s="234"/>
      <c r="F48" s="23">
        <f>VLOOKUP(B48,'Daten Tiere'!$B$11:$E$25,2,FALSE)</f>
        <v>0</v>
      </c>
      <c r="G48" s="23">
        <f>VLOOKUP(B48,'Daten Tiere'!$B$11:$E$25,3,FALSE)</f>
        <v>0</v>
      </c>
      <c r="H48" s="23">
        <f>VLOOKUP(B48,'Daten Tiere'!$B$11:$E$25,4,FALSE)</f>
        <v>0</v>
      </c>
      <c r="I48" s="17">
        <f t="shared" si="3"/>
        <v>0</v>
      </c>
      <c r="J48" s="17">
        <f t="shared" si="4"/>
        <v>0</v>
      </c>
      <c r="K48" s="17">
        <f t="shared" si="5"/>
        <v>0</v>
      </c>
    </row>
    <row r="49" spans="1:11">
      <c r="A49" s="854"/>
      <c r="B49" s="842" t="s">
        <v>163</v>
      </c>
      <c r="C49" s="836">
        <v>0</v>
      </c>
      <c r="D49" s="857">
        <v>0</v>
      </c>
      <c r="E49" s="234"/>
      <c r="F49" s="23">
        <f>VLOOKUP(B49,'Daten Tiere'!$B$11:$E$25,2,FALSE)</f>
        <v>0</v>
      </c>
      <c r="G49" s="23">
        <f>VLOOKUP(B49,'Daten Tiere'!$B$11:$E$25,3,FALSE)</f>
        <v>0</v>
      </c>
      <c r="H49" s="23">
        <f>VLOOKUP(B49,'Daten Tiere'!$B$11:$E$25,4,FALSE)</f>
        <v>0</v>
      </c>
      <c r="I49" s="17">
        <f t="shared" si="3"/>
        <v>0</v>
      </c>
      <c r="J49" s="17">
        <f t="shared" si="4"/>
        <v>0</v>
      </c>
      <c r="K49" s="17">
        <f t="shared" si="5"/>
        <v>0</v>
      </c>
    </row>
    <row r="50" spans="1:11">
      <c r="A50" s="854"/>
      <c r="B50" s="842" t="s">
        <v>163</v>
      </c>
      <c r="C50" s="836">
        <v>0</v>
      </c>
      <c r="D50" s="857">
        <v>0</v>
      </c>
      <c r="E50" s="234"/>
      <c r="F50" s="23">
        <f>VLOOKUP(B50,'Daten Tiere'!$B$11:$E$25,2,FALSE)</f>
        <v>0</v>
      </c>
      <c r="G50" s="23">
        <f>VLOOKUP(B50,'Daten Tiere'!$B$11:$E$25,3,FALSE)</f>
        <v>0</v>
      </c>
      <c r="H50" s="23">
        <f>VLOOKUP(B50,'Daten Tiere'!$B$11:$E$25,4,FALSE)</f>
        <v>0</v>
      </c>
      <c r="I50" s="17">
        <f t="shared" si="3"/>
        <v>0</v>
      </c>
      <c r="J50" s="17">
        <f t="shared" si="4"/>
        <v>0</v>
      </c>
      <c r="K50" s="17">
        <f t="shared" si="5"/>
        <v>0</v>
      </c>
    </row>
    <row r="51" spans="1:11">
      <c r="A51" s="854"/>
      <c r="B51" s="842" t="s">
        <v>163</v>
      </c>
      <c r="C51" s="836">
        <v>0</v>
      </c>
      <c r="D51" s="857">
        <v>0</v>
      </c>
      <c r="E51" s="234"/>
      <c r="F51" s="23">
        <f>VLOOKUP(B51,'Daten Tiere'!$B$11:$E$25,2,FALSE)</f>
        <v>0</v>
      </c>
      <c r="G51" s="23">
        <f>VLOOKUP(B51,'Daten Tiere'!$B$11:$E$25,3,FALSE)</f>
        <v>0</v>
      </c>
      <c r="H51" s="23">
        <f>VLOOKUP(B51,'Daten Tiere'!$B$11:$E$25,4,FALSE)</f>
        <v>0</v>
      </c>
      <c r="I51" s="17">
        <f t="shared" si="3"/>
        <v>0</v>
      </c>
      <c r="J51" s="17">
        <f t="shared" si="4"/>
        <v>0</v>
      </c>
      <c r="K51" s="17">
        <f t="shared" si="5"/>
        <v>0</v>
      </c>
    </row>
    <row r="52" spans="1:11">
      <c r="A52" s="854"/>
      <c r="B52" s="842" t="s">
        <v>163</v>
      </c>
      <c r="C52" s="836">
        <v>0</v>
      </c>
      <c r="D52" s="857">
        <v>0</v>
      </c>
      <c r="E52" s="234"/>
      <c r="F52" s="23">
        <f>VLOOKUP(B52,'Daten Tiere'!$B$11:$E$25,2,FALSE)</f>
        <v>0</v>
      </c>
      <c r="G52" s="23">
        <f>VLOOKUP(B52,'Daten Tiere'!$B$11:$E$25,3,FALSE)</f>
        <v>0</v>
      </c>
      <c r="H52" s="23">
        <f>VLOOKUP(B52,'Daten Tiere'!$B$11:$E$25,4,FALSE)</f>
        <v>0</v>
      </c>
      <c r="I52" s="17">
        <f t="shared" si="3"/>
        <v>0</v>
      </c>
      <c r="J52" s="17">
        <f t="shared" si="4"/>
        <v>0</v>
      </c>
      <c r="K52" s="17">
        <f t="shared" si="5"/>
        <v>0</v>
      </c>
    </row>
    <row r="53" spans="1:11">
      <c r="A53" s="854"/>
      <c r="B53" s="842" t="s">
        <v>163</v>
      </c>
      <c r="C53" s="836">
        <v>0</v>
      </c>
      <c r="D53" s="857">
        <v>0</v>
      </c>
      <c r="E53" s="234"/>
      <c r="F53" s="23">
        <f>VLOOKUP(B53,'Daten Tiere'!$B$11:$E$25,2,FALSE)</f>
        <v>0</v>
      </c>
      <c r="G53" s="23">
        <f>VLOOKUP(B53,'Daten Tiere'!$B$11:$E$25,3,FALSE)</f>
        <v>0</v>
      </c>
      <c r="H53" s="23">
        <f>VLOOKUP(B53,'Daten Tiere'!$B$11:$E$25,4,FALSE)</f>
        <v>0</v>
      </c>
      <c r="I53" s="17">
        <f t="shared" si="3"/>
        <v>0</v>
      </c>
      <c r="J53" s="17">
        <f t="shared" si="4"/>
        <v>0</v>
      </c>
      <c r="K53" s="17">
        <f t="shared" si="5"/>
        <v>0</v>
      </c>
    </row>
    <row r="54" spans="1:11">
      <c r="A54" s="854"/>
      <c r="B54" s="842" t="s">
        <v>163</v>
      </c>
      <c r="C54" s="836">
        <v>0</v>
      </c>
      <c r="D54" s="857">
        <v>0</v>
      </c>
      <c r="E54" s="234"/>
      <c r="F54" s="23">
        <f>VLOOKUP(B54,'Daten Tiere'!$B$11:$E$25,2,FALSE)</f>
        <v>0</v>
      </c>
      <c r="G54" s="23">
        <f>VLOOKUP(B54,'Daten Tiere'!$B$11:$E$25,3,FALSE)</f>
        <v>0</v>
      </c>
      <c r="H54" s="23">
        <f>VLOOKUP(B54,'Daten Tiere'!$B$11:$E$25,4,FALSE)</f>
        <v>0</v>
      </c>
      <c r="I54" s="17">
        <f t="shared" si="3"/>
        <v>0</v>
      </c>
      <c r="J54" s="17">
        <f t="shared" si="4"/>
        <v>0</v>
      </c>
      <c r="K54" s="17">
        <f t="shared" si="5"/>
        <v>0</v>
      </c>
    </row>
    <row r="55" spans="1:11">
      <c r="A55" s="854"/>
      <c r="B55" s="842" t="s">
        <v>163</v>
      </c>
      <c r="C55" s="836">
        <v>0</v>
      </c>
      <c r="D55" s="857">
        <v>0</v>
      </c>
      <c r="E55" s="234"/>
      <c r="F55" s="23">
        <f>VLOOKUP(B55,'Daten Tiere'!$B$11:$E$25,2,FALSE)</f>
        <v>0</v>
      </c>
      <c r="G55" s="23">
        <f>VLOOKUP(B55,'Daten Tiere'!$B$11:$E$25,3,FALSE)</f>
        <v>0</v>
      </c>
      <c r="H55" s="23">
        <f>VLOOKUP(B55,'Daten Tiere'!$B$11:$E$25,4,FALSE)</f>
        <v>0</v>
      </c>
      <c r="I55" s="17">
        <f t="shared" si="3"/>
        <v>0</v>
      </c>
      <c r="J55" s="17">
        <f t="shared" si="4"/>
        <v>0</v>
      </c>
      <c r="K55" s="17">
        <f t="shared" si="5"/>
        <v>0</v>
      </c>
    </row>
    <row r="56" spans="1:11">
      <c r="A56" s="854"/>
      <c r="B56" s="842" t="s">
        <v>163</v>
      </c>
      <c r="C56" s="836">
        <v>0</v>
      </c>
      <c r="D56" s="857">
        <v>0</v>
      </c>
      <c r="E56" s="234"/>
      <c r="F56" s="23">
        <f>VLOOKUP(B56,'Daten Tiere'!$B$11:$E$25,2,FALSE)</f>
        <v>0</v>
      </c>
      <c r="G56" s="23">
        <f>VLOOKUP(B56,'Daten Tiere'!$B$11:$E$25,3,FALSE)</f>
        <v>0</v>
      </c>
      <c r="H56" s="23">
        <f>VLOOKUP(B56,'Daten Tiere'!$B$11:$E$25,4,FALSE)</f>
        <v>0</v>
      </c>
      <c r="I56" s="17">
        <f t="shared" si="3"/>
        <v>0</v>
      </c>
      <c r="J56" s="17">
        <f t="shared" si="4"/>
        <v>0</v>
      </c>
      <c r="K56" s="17">
        <f t="shared" si="5"/>
        <v>0</v>
      </c>
    </row>
    <row r="57" spans="1:11">
      <c r="A57" s="854"/>
      <c r="B57" s="842" t="s">
        <v>163</v>
      </c>
      <c r="C57" s="836">
        <v>0</v>
      </c>
      <c r="D57" s="857">
        <v>0</v>
      </c>
      <c r="E57" s="234"/>
      <c r="F57" s="23">
        <f>VLOOKUP(B57,'Daten Tiere'!$B$11:$E$25,2,FALSE)</f>
        <v>0</v>
      </c>
      <c r="G57" s="23">
        <f>VLOOKUP(B57,'Daten Tiere'!$B$11:$E$25,3,FALSE)</f>
        <v>0</v>
      </c>
      <c r="H57" s="23">
        <f>VLOOKUP(B57,'Daten Tiere'!$B$11:$E$25,4,FALSE)</f>
        <v>0</v>
      </c>
      <c r="I57" s="17">
        <f t="shared" si="3"/>
        <v>0</v>
      </c>
      <c r="J57" s="17">
        <f t="shared" si="4"/>
        <v>0</v>
      </c>
      <c r="K57" s="17">
        <f t="shared" si="5"/>
        <v>0</v>
      </c>
    </row>
    <row r="58" spans="1:11">
      <c r="A58" s="854"/>
      <c r="B58" s="842" t="s">
        <v>163</v>
      </c>
      <c r="C58" s="836">
        <v>0</v>
      </c>
      <c r="D58" s="857">
        <v>0</v>
      </c>
      <c r="E58" s="234"/>
      <c r="F58" s="23">
        <f>VLOOKUP(B58,'Daten Tiere'!$B$11:$E$25,2,FALSE)</f>
        <v>0</v>
      </c>
      <c r="G58" s="23">
        <f>VLOOKUP(B58,'Daten Tiere'!$B$11:$E$25,3,FALSE)</f>
        <v>0</v>
      </c>
      <c r="H58" s="23">
        <f>VLOOKUP(B58,'Daten Tiere'!$B$11:$E$25,4,FALSE)</f>
        <v>0</v>
      </c>
      <c r="I58" s="17">
        <f t="shared" si="3"/>
        <v>0</v>
      </c>
      <c r="J58" s="17">
        <f t="shared" si="4"/>
        <v>0</v>
      </c>
      <c r="K58" s="17">
        <f t="shared" si="5"/>
        <v>0</v>
      </c>
    </row>
    <row r="59" spans="1:11">
      <c r="A59" s="854"/>
      <c r="B59" s="842" t="s">
        <v>163</v>
      </c>
      <c r="C59" s="836">
        <v>0</v>
      </c>
      <c r="D59" s="857">
        <v>0</v>
      </c>
      <c r="E59" s="234"/>
      <c r="F59" s="23">
        <f>VLOOKUP(B59,'Daten Tiere'!$B$11:$E$25,2,FALSE)</f>
        <v>0</v>
      </c>
      <c r="G59" s="23">
        <f>VLOOKUP(B59,'Daten Tiere'!$B$11:$E$25,3,FALSE)</f>
        <v>0</v>
      </c>
      <c r="H59" s="23">
        <f>VLOOKUP(B59,'Daten Tiere'!$B$11:$E$25,4,FALSE)</f>
        <v>0</v>
      </c>
      <c r="I59" s="17">
        <f t="shared" si="3"/>
        <v>0</v>
      </c>
      <c r="J59" s="17">
        <f t="shared" si="4"/>
        <v>0</v>
      </c>
      <c r="K59" s="17">
        <f t="shared" si="5"/>
        <v>0</v>
      </c>
    </row>
    <row r="60" spans="1:11">
      <c r="A60" s="854"/>
      <c r="B60" s="842" t="s">
        <v>163</v>
      </c>
      <c r="C60" s="836">
        <v>0</v>
      </c>
      <c r="D60" s="857">
        <v>0</v>
      </c>
      <c r="E60" s="234"/>
      <c r="F60" s="23">
        <f>VLOOKUP(B60,'Daten Tiere'!$B$11:$E$25,2,FALSE)</f>
        <v>0</v>
      </c>
      <c r="G60" s="23">
        <f>VLOOKUP(B60,'Daten Tiere'!$B$11:$E$25,3,FALSE)</f>
        <v>0</v>
      </c>
      <c r="H60" s="23">
        <f>VLOOKUP(B60,'Daten Tiere'!$B$11:$E$25,4,FALSE)</f>
        <v>0</v>
      </c>
      <c r="I60" s="17">
        <f t="shared" si="3"/>
        <v>0</v>
      </c>
      <c r="J60" s="17">
        <f t="shared" si="4"/>
        <v>0</v>
      </c>
      <c r="K60" s="17">
        <f t="shared" si="5"/>
        <v>0</v>
      </c>
    </row>
    <row r="61" spans="1:11">
      <c r="A61" s="854"/>
      <c r="B61" s="842" t="s">
        <v>163</v>
      </c>
      <c r="C61" s="836">
        <v>0</v>
      </c>
      <c r="D61" s="857">
        <v>0</v>
      </c>
      <c r="E61" s="234"/>
      <c r="F61" s="23">
        <f>VLOOKUP(B61,'Daten Tiere'!$B$11:$E$25,2,FALSE)</f>
        <v>0</v>
      </c>
      <c r="G61" s="23">
        <f>VLOOKUP(B61,'Daten Tiere'!$B$11:$E$25,3,FALSE)</f>
        <v>0</v>
      </c>
      <c r="H61" s="23">
        <f>VLOOKUP(B61,'Daten Tiere'!$B$11:$E$25,4,FALSE)</f>
        <v>0</v>
      </c>
      <c r="I61" s="17">
        <f t="shared" si="3"/>
        <v>0</v>
      </c>
      <c r="J61" s="17">
        <f t="shared" si="4"/>
        <v>0</v>
      </c>
      <c r="K61" s="17">
        <f t="shared" si="5"/>
        <v>0</v>
      </c>
    </row>
    <row r="62" spans="1:11">
      <c r="A62" s="854"/>
      <c r="B62" s="842" t="s">
        <v>163</v>
      </c>
      <c r="C62" s="836">
        <v>0</v>
      </c>
      <c r="D62" s="857">
        <v>0</v>
      </c>
      <c r="E62" s="234"/>
      <c r="F62" s="23">
        <f>VLOOKUP(B62,'Daten Tiere'!$B$11:$E$25,2,FALSE)</f>
        <v>0</v>
      </c>
      <c r="G62" s="23">
        <f>VLOOKUP(B62,'Daten Tiere'!$B$11:$E$25,3,FALSE)</f>
        <v>0</v>
      </c>
      <c r="H62" s="23">
        <f>VLOOKUP(B62,'Daten Tiere'!$B$11:$E$25,4,FALSE)</f>
        <v>0</v>
      </c>
      <c r="I62" s="17">
        <f t="shared" si="3"/>
        <v>0</v>
      </c>
      <c r="J62" s="17">
        <f t="shared" si="4"/>
        <v>0</v>
      </c>
      <c r="K62" s="17">
        <f t="shared" si="5"/>
        <v>0</v>
      </c>
    </row>
    <row r="63" spans="1:11">
      <c r="A63" s="854"/>
      <c r="B63" s="842" t="s">
        <v>163</v>
      </c>
      <c r="C63" s="836">
        <v>0</v>
      </c>
      <c r="D63" s="857">
        <v>0</v>
      </c>
      <c r="E63" s="234"/>
      <c r="F63" s="23">
        <f>VLOOKUP(B63,'Daten Tiere'!$B$11:$E$25,2,FALSE)</f>
        <v>0</v>
      </c>
      <c r="G63" s="23">
        <f>VLOOKUP(B63,'Daten Tiere'!$B$11:$E$25,3,FALSE)</f>
        <v>0</v>
      </c>
      <c r="H63" s="23">
        <f>VLOOKUP(B63,'Daten Tiere'!$B$11:$E$25,4,FALSE)</f>
        <v>0</v>
      </c>
      <c r="I63" s="17">
        <f>IF(B63="leer",0,C63*D63/1000*F63)</f>
        <v>0</v>
      </c>
      <c r="J63" s="17">
        <f>IF(B63="leer",0,C63*D63/1000*G63)</f>
        <v>0</v>
      </c>
      <c r="K63" s="17">
        <f t="shared" ref="K63:K66" si="6">IF(B63="leer",0,C63*D63/1000*H63)</f>
        <v>0</v>
      </c>
    </row>
    <row r="64" spans="1:11">
      <c r="A64" s="854"/>
      <c r="B64" s="842" t="s">
        <v>163</v>
      </c>
      <c r="C64" s="836">
        <v>0</v>
      </c>
      <c r="D64" s="857">
        <v>0</v>
      </c>
      <c r="E64" s="234"/>
      <c r="F64" s="23">
        <f>VLOOKUP(B64,'Daten Tiere'!$B$11:$E$25,2,FALSE)</f>
        <v>0</v>
      </c>
      <c r="G64" s="23">
        <f>VLOOKUP(B64,'Daten Tiere'!$B$11:$E$25,3,FALSE)</f>
        <v>0</v>
      </c>
      <c r="H64" s="23">
        <f>VLOOKUP(B64,'Daten Tiere'!$B$11:$E$25,4,FALSE)</f>
        <v>0</v>
      </c>
      <c r="I64" s="17">
        <f t="shared" ref="I64:I66" si="7">IF(B64="leer",0,C64*D64/1000*F64)</f>
        <v>0</v>
      </c>
      <c r="J64" s="17">
        <f t="shared" ref="J64:J66" si="8">IF(B64="leer",0,C64*D64/1000*G64)</f>
        <v>0</v>
      </c>
      <c r="K64" s="17">
        <f>IF(B64="leer",0,C64*D64/1000*H64)</f>
        <v>0</v>
      </c>
    </row>
    <row r="65" spans="1:11" s="339" customFormat="1">
      <c r="A65" s="854"/>
      <c r="B65" s="842" t="s">
        <v>163</v>
      </c>
      <c r="C65" s="836">
        <v>0</v>
      </c>
      <c r="D65" s="857">
        <v>0</v>
      </c>
      <c r="E65" s="338"/>
      <c r="F65" s="23">
        <f>VLOOKUP(B65,'Daten Tiere'!$B$11:$E$25,2,FALSE)</f>
        <v>0</v>
      </c>
      <c r="G65" s="23">
        <f>VLOOKUP(B65,'Daten Tiere'!$B$11:$E$25,3,FALSE)</f>
        <v>0</v>
      </c>
      <c r="H65" s="23">
        <f>VLOOKUP(B65,'Daten Tiere'!$B$11:$E$25,4,FALSE)</f>
        <v>0</v>
      </c>
      <c r="I65" s="17">
        <f t="shared" ref="I65" si="9">IF(B65="leer",0,C65*D65/1000*F65)</f>
        <v>0</v>
      </c>
      <c r="J65" s="17">
        <f t="shared" ref="J65" si="10">IF(B65="leer",0,C65*D65/1000*G65)</f>
        <v>0</v>
      </c>
      <c r="K65" s="17">
        <f>IF(B65="leer",0,C65*D65/1000*H65)</f>
        <v>0</v>
      </c>
    </row>
    <row r="66" spans="1:11">
      <c r="A66" s="854"/>
      <c r="B66" s="842" t="s">
        <v>163</v>
      </c>
      <c r="C66" s="836">
        <v>0</v>
      </c>
      <c r="D66" s="857">
        <v>0</v>
      </c>
      <c r="E66" s="234"/>
      <c r="F66" s="23">
        <f>VLOOKUP(B66,'Daten Tiere'!$B$11:$E$25,2,FALSE)</f>
        <v>0</v>
      </c>
      <c r="G66" s="23">
        <f>VLOOKUP(B66,'Daten Tiere'!$B$11:$E$25,3,FALSE)</f>
        <v>0</v>
      </c>
      <c r="H66" s="23">
        <f>VLOOKUP(B66,'Daten Tiere'!$B$11:$E$25,4,FALSE)</f>
        <v>0</v>
      </c>
      <c r="I66" s="17">
        <f t="shared" si="7"/>
        <v>0</v>
      </c>
      <c r="J66" s="17">
        <f t="shared" si="8"/>
        <v>0</v>
      </c>
      <c r="K66" s="17">
        <f t="shared" si="6"/>
        <v>0</v>
      </c>
    </row>
    <row r="67" spans="1:11" s="557" customFormat="1" ht="17.25" customHeight="1">
      <c r="B67" s="302"/>
      <c r="C67" s="302"/>
      <c r="D67" s="302"/>
      <c r="E67" s="302"/>
      <c r="F67" s="302"/>
      <c r="G67" s="302"/>
      <c r="H67" s="302" t="s">
        <v>38</v>
      </c>
      <c r="I67" s="429">
        <f>SUM(I40:I66)</f>
        <v>0</v>
      </c>
      <c r="J67" s="429">
        <f>SUM(J40:J66)</f>
        <v>0</v>
      </c>
      <c r="K67" s="429">
        <f>SUM(K40:K66)</f>
        <v>0</v>
      </c>
    </row>
    <row r="70" spans="1:11" s="13" customFormat="1" ht="19.5" customHeight="1">
      <c r="A70" s="16"/>
      <c r="B70" s="869" t="s">
        <v>248</v>
      </c>
      <c r="C70" s="16"/>
      <c r="D70" s="16"/>
      <c r="E70" s="16"/>
      <c r="F70" s="1308" t="s">
        <v>17</v>
      </c>
      <c r="G70" s="1306"/>
      <c r="H70" s="1307"/>
      <c r="I70" s="1308" t="s">
        <v>444</v>
      </c>
      <c r="J70" s="1306"/>
      <c r="K70" s="1307"/>
    </row>
    <row r="71" spans="1:11" s="13" customFormat="1" ht="18">
      <c r="A71" s="313" t="s">
        <v>363</v>
      </c>
      <c r="B71" s="336" t="s">
        <v>400</v>
      </c>
      <c r="C71" s="334" t="s">
        <v>554</v>
      </c>
      <c r="D71" s="313" t="s">
        <v>18</v>
      </c>
      <c r="E71" s="336" t="s">
        <v>446</v>
      </c>
      <c r="F71" s="336" t="s">
        <v>16</v>
      </c>
      <c r="G71" s="336" t="s">
        <v>113</v>
      </c>
      <c r="H71" s="336" t="s">
        <v>114</v>
      </c>
      <c r="I71" s="336" t="s">
        <v>16</v>
      </c>
      <c r="J71" s="336" t="s">
        <v>113</v>
      </c>
      <c r="K71" s="336" t="s">
        <v>114</v>
      </c>
    </row>
    <row r="72" spans="1:11">
      <c r="A72" s="854"/>
      <c r="B72" s="855" t="s">
        <v>163</v>
      </c>
      <c r="C72" s="836">
        <v>0</v>
      </c>
      <c r="D72" s="857">
        <v>0</v>
      </c>
      <c r="E72" s="372">
        <f>VLOOKUP(B72,'Daten Tiere'!$R$5:$V$10,5,FALSE)</f>
        <v>0</v>
      </c>
      <c r="F72" s="23">
        <f>VLOOKUP(B72,'Daten Tiere'!$R$5:$V$10,2,FALSE)</f>
        <v>0</v>
      </c>
      <c r="G72" s="23">
        <f>VLOOKUP(B72,'Daten Tiere'!$R$5:$V$10,3,FALSE)</f>
        <v>0</v>
      </c>
      <c r="H72" s="23">
        <f>VLOOKUP(B72,'Daten Tiere'!$R$5:$V$10,4,FALSE)</f>
        <v>0</v>
      </c>
      <c r="I72" s="22">
        <f>IF(B72="leer",0,C72/E72*D72/1000*F72)</f>
        <v>0</v>
      </c>
      <c r="J72" s="22">
        <f>IF(B72="leer",0,C72/E72*D72/1000*G72)</f>
        <v>0</v>
      </c>
      <c r="K72" s="22">
        <f>IF(B72="leer",0,C72/E72*D72/1000*H72)</f>
        <v>0</v>
      </c>
    </row>
    <row r="73" spans="1:11">
      <c r="A73" s="854"/>
      <c r="B73" s="855" t="s">
        <v>163</v>
      </c>
      <c r="C73" s="836">
        <v>0</v>
      </c>
      <c r="D73" s="857">
        <v>0</v>
      </c>
      <c r="E73" s="372">
        <f>VLOOKUP(B73,'Daten Tiere'!$R$5:$V$10,5,FALSE)</f>
        <v>0</v>
      </c>
      <c r="F73" s="23">
        <f>VLOOKUP(B73,'Daten Tiere'!$R$5:$V$10,2,FALSE)</f>
        <v>0</v>
      </c>
      <c r="G73" s="23">
        <f>VLOOKUP(B73,'Daten Tiere'!$R$5:$V$10,3,FALSE)</f>
        <v>0</v>
      </c>
      <c r="H73" s="23">
        <f>VLOOKUP(B73,'Daten Tiere'!$R$5:$V$10,4,FALSE)</f>
        <v>0</v>
      </c>
      <c r="I73" s="22">
        <f t="shared" ref="I73:I113" si="11">IF(B73="leer",0,C73/E73*D73/1000*F73)</f>
        <v>0</v>
      </c>
      <c r="J73" s="22">
        <f t="shared" ref="J73:J113" si="12">IF(B73="leer",0,C73/E73*D73/1000*G73)</f>
        <v>0</v>
      </c>
      <c r="K73" s="22">
        <f t="shared" ref="K73:K113" si="13">IF(B73="leer",0,C73/E73*D73/1000*H73)</f>
        <v>0</v>
      </c>
    </row>
    <row r="74" spans="1:11">
      <c r="A74" s="854"/>
      <c r="B74" s="855" t="s">
        <v>163</v>
      </c>
      <c r="C74" s="836">
        <v>0</v>
      </c>
      <c r="D74" s="857">
        <v>0</v>
      </c>
      <c r="E74" s="372">
        <f>VLOOKUP(B74,'Daten Tiere'!$R$5:$V$10,5,FALSE)</f>
        <v>0</v>
      </c>
      <c r="F74" s="23">
        <f>VLOOKUP(B74,'Daten Tiere'!$R$5:$V$10,2,FALSE)</f>
        <v>0</v>
      </c>
      <c r="G74" s="23">
        <f>VLOOKUP(B74,'Daten Tiere'!$R$5:$V$10,3,FALSE)</f>
        <v>0</v>
      </c>
      <c r="H74" s="23">
        <f>VLOOKUP(B74,'Daten Tiere'!$R$5:$V$10,4,FALSE)</f>
        <v>0</v>
      </c>
      <c r="I74" s="22">
        <f t="shared" si="11"/>
        <v>0</v>
      </c>
      <c r="J74" s="22">
        <f t="shared" si="12"/>
        <v>0</v>
      </c>
      <c r="K74" s="22">
        <f t="shared" si="13"/>
        <v>0</v>
      </c>
    </row>
    <row r="75" spans="1:11">
      <c r="A75" s="854"/>
      <c r="B75" s="855" t="s">
        <v>163</v>
      </c>
      <c r="C75" s="836">
        <v>0</v>
      </c>
      <c r="D75" s="857">
        <v>0</v>
      </c>
      <c r="E75" s="372">
        <f>VLOOKUP(B75,'Daten Tiere'!$R$5:$V$10,5,FALSE)</f>
        <v>0</v>
      </c>
      <c r="F75" s="23">
        <f>VLOOKUP(B75,'Daten Tiere'!$R$5:$V$10,2,FALSE)</f>
        <v>0</v>
      </c>
      <c r="G75" s="23">
        <f>VLOOKUP(B75,'Daten Tiere'!$R$5:$V$10,3,FALSE)</f>
        <v>0</v>
      </c>
      <c r="H75" s="23">
        <f>VLOOKUP(B75,'Daten Tiere'!$R$5:$V$10,4,FALSE)</f>
        <v>0</v>
      </c>
      <c r="I75" s="22">
        <f t="shared" si="11"/>
        <v>0</v>
      </c>
      <c r="J75" s="22">
        <f t="shared" si="12"/>
        <v>0</v>
      </c>
      <c r="K75" s="22">
        <f t="shared" si="13"/>
        <v>0</v>
      </c>
    </row>
    <row r="76" spans="1:11">
      <c r="A76" s="854"/>
      <c r="B76" s="855" t="s">
        <v>163</v>
      </c>
      <c r="C76" s="836">
        <v>0</v>
      </c>
      <c r="D76" s="857">
        <v>0</v>
      </c>
      <c r="E76" s="372">
        <f>VLOOKUP(B76,'Daten Tiere'!$R$5:$V$10,5,FALSE)</f>
        <v>0</v>
      </c>
      <c r="F76" s="23">
        <f>VLOOKUP(B76,'Daten Tiere'!$R$5:$V$10,2,FALSE)</f>
        <v>0</v>
      </c>
      <c r="G76" s="23">
        <f>VLOOKUP(B76,'Daten Tiere'!$R$5:$V$10,3,FALSE)</f>
        <v>0</v>
      </c>
      <c r="H76" s="23">
        <f>VLOOKUP(B76,'Daten Tiere'!$R$5:$V$10,4,FALSE)</f>
        <v>0</v>
      </c>
      <c r="I76" s="22">
        <f t="shared" si="11"/>
        <v>0</v>
      </c>
      <c r="J76" s="22">
        <f t="shared" si="12"/>
        <v>0</v>
      </c>
      <c r="K76" s="22">
        <f t="shared" si="13"/>
        <v>0</v>
      </c>
    </row>
    <row r="77" spans="1:11">
      <c r="A77" s="854"/>
      <c r="B77" s="855" t="s">
        <v>163</v>
      </c>
      <c r="C77" s="836">
        <v>0</v>
      </c>
      <c r="D77" s="857">
        <v>0</v>
      </c>
      <c r="E77" s="372">
        <f>VLOOKUP(B77,'Daten Tiere'!$R$5:$V$10,5,FALSE)</f>
        <v>0</v>
      </c>
      <c r="F77" s="23">
        <f>VLOOKUP(B77,'Daten Tiere'!$R$5:$V$10,2,FALSE)</f>
        <v>0</v>
      </c>
      <c r="G77" s="23">
        <f>VLOOKUP(B77,'Daten Tiere'!$R$5:$V$10,3,FALSE)</f>
        <v>0</v>
      </c>
      <c r="H77" s="23">
        <f>VLOOKUP(B77,'Daten Tiere'!$R$5:$V$10,4,FALSE)</f>
        <v>0</v>
      </c>
      <c r="I77" s="22">
        <f t="shared" si="11"/>
        <v>0</v>
      </c>
      <c r="J77" s="22">
        <f t="shared" si="12"/>
        <v>0</v>
      </c>
      <c r="K77" s="22">
        <f t="shared" si="13"/>
        <v>0</v>
      </c>
    </row>
    <row r="78" spans="1:11">
      <c r="A78" s="854"/>
      <c r="B78" s="855" t="s">
        <v>163</v>
      </c>
      <c r="C78" s="836">
        <v>0</v>
      </c>
      <c r="D78" s="857">
        <v>0</v>
      </c>
      <c r="E78" s="372">
        <f>VLOOKUP(B78,'Daten Tiere'!$R$5:$V$10,5,FALSE)</f>
        <v>0</v>
      </c>
      <c r="F78" s="23">
        <f>VLOOKUP(B78,'Daten Tiere'!$R$5:$V$10,2,FALSE)</f>
        <v>0</v>
      </c>
      <c r="G78" s="23">
        <f>VLOOKUP(B78,'Daten Tiere'!$R$5:$V$10,3,FALSE)</f>
        <v>0</v>
      </c>
      <c r="H78" s="23">
        <f>VLOOKUP(B78,'Daten Tiere'!$R$5:$V$10,4,FALSE)</f>
        <v>0</v>
      </c>
      <c r="I78" s="22">
        <f t="shared" si="11"/>
        <v>0</v>
      </c>
      <c r="J78" s="22">
        <f t="shared" si="12"/>
        <v>0</v>
      </c>
      <c r="K78" s="22">
        <f t="shared" si="13"/>
        <v>0</v>
      </c>
    </row>
    <row r="79" spans="1:11">
      <c r="A79" s="854"/>
      <c r="B79" s="855" t="s">
        <v>163</v>
      </c>
      <c r="C79" s="836">
        <v>0</v>
      </c>
      <c r="D79" s="857">
        <v>0</v>
      </c>
      <c r="E79" s="372">
        <f>VLOOKUP(B79,'Daten Tiere'!$R$5:$V$10,5,FALSE)</f>
        <v>0</v>
      </c>
      <c r="F79" s="23">
        <f>VLOOKUP(B79,'Daten Tiere'!$R$5:$V$10,2,FALSE)</f>
        <v>0</v>
      </c>
      <c r="G79" s="23">
        <f>VLOOKUP(B79,'Daten Tiere'!$R$5:$V$10,3,FALSE)</f>
        <v>0</v>
      </c>
      <c r="H79" s="23">
        <f>VLOOKUP(B79,'Daten Tiere'!$R$5:$V$10,4,FALSE)</f>
        <v>0</v>
      </c>
      <c r="I79" s="22">
        <f t="shared" si="11"/>
        <v>0</v>
      </c>
      <c r="J79" s="22">
        <f t="shared" si="12"/>
        <v>0</v>
      </c>
      <c r="K79" s="22">
        <f t="shared" si="13"/>
        <v>0</v>
      </c>
    </row>
    <row r="80" spans="1:11">
      <c r="A80" s="854"/>
      <c r="B80" s="855" t="s">
        <v>163</v>
      </c>
      <c r="C80" s="836">
        <v>0</v>
      </c>
      <c r="D80" s="857">
        <v>0</v>
      </c>
      <c r="E80" s="372">
        <f>VLOOKUP(B80,'Daten Tiere'!$R$5:$V$10,5,FALSE)</f>
        <v>0</v>
      </c>
      <c r="F80" s="23">
        <f>VLOOKUP(B80,'Daten Tiere'!$R$5:$V$10,2,FALSE)</f>
        <v>0</v>
      </c>
      <c r="G80" s="23">
        <f>VLOOKUP(B80,'Daten Tiere'!$R$5:$V$10,3,FALSE)</f>
        <v>0</v>
      </c>
      <c r="H80" s="23">
        <f>VLOOKUP(B80,'Daten Tiere'!$R$5:$V$10,4,FALSE)</f>
        <v>0</v>
      </c>
      <c r="I80" s="22">
        <f t="shared" si="11"/>
        <v>0</v>
      </c>
      <c r="J80" s="22">
        <f t="shared" si="12"/>
        <v>0</v>
      </c>
      <c r="K80" s="22">
        <f t="shared" si="13"/>
        <v>0</v>
      </c>
    </row>
    <row r="81" spans="1:11">
      <c r="A81" s="854"/>
      <c r="B81" s="855" t="s">
        <v>163</v>
      </c>
      <c r="C81" s="836">
        <v>0</v>
      </c>
      <c r="D81" s="857">
        <v>0</v>
      </c>
      <c r="E81" s="372">
        <f>VLOOKUP(B81,'Daten Tiere'!$R$5:$V$10,5,FALSE)</f>
        <v>0</v>
      </c>
      <c r="F81" s="23">
        <f>VLOOKUP(B81,'Daten Tiere'!$R$5:$V$10,2,FALSE)</f>
        <v>0</v>
      </c>
      <c r="G81" s="23">
        <f>VLOOKUP(B81,'Daten Tiere'!$R$5:$V$10,3,FALSE)</f>
        <v>0</v>
      </c>
      <c r="H81" s="23">
        <f>VLOOKUP(B81,'Daten Tiere'!$R$5:$V$10,4,FALSE)</f>
        <v>0</v>
      </c>
      <c r="I81" s="22">
        <f t="shared" si="11"/>
        <v>0</v>
      </c>
      <c r="J81" s="22">
        <f t="shared" si="12"/>
        <v>0</v>
      </c>
      <c r="K81" s="22">
        <f t="shared" si="13"/>
        <v>0</v>
      </c>
    </row>
    <row r="82" spans="1:11">
      <c r="A82" s="854"/>
      <c r="B82" s="855" t="s">
        <v>163</v>
      </c>
      <c r="C82" s="836">
        <v>0</v>
      </c>
      <c r="D82" s="857">
        <v>0</v>
      </c>
      <c r="E82" s="372">
        <f>VLOOKUP(B82,'Daten Tiere'!$R$5:$V$10,5,FALSE)</f>
        <v>0</v>
      </c>
      <c r="F82" s="23">
        <f>VLOOKUP(B82,'Daten Tiere'!$R$5:$V$10,2,FALSE)</f>
        <v>0</v>
      </c>
      <c r="G82" s="23">
        <f>VLOOKUP(B82,'Daten Tiere'!$R$5:$V$10,3,FALSE)</f>
        <v>0</v>
      </c>
      <c r="H82" s="23">
        <f>VLOOKUP(B82,'Daten Tiere'!$R$5:$V$10,4,FALSE)</f>
        <v>0</v>
      </c>
      <c r="I82" s="22">
        <f t="shared" si="11"/>
        <v>0</v>
      </c>
      <c r="J82" s="22">
        <f t="shared" si="12"/>
        <v>0</v>
      </c>
      <c r="K82" s="22">
        <f t="shared" si="13"/>
        <v>0</v>
      </c>
    </row>
    <row r="83" spans="1:11">
      <c r="A83" s="854"/>
      <c r="B83" s="855" t="s">
        <v>163</v>
      </c>
      <c r="C83" s="836">
        <v>0</v>
      </c>
      <c r="D83" s="857">
        <v>0</v>
      </c>
      <c r="E83" s="372">
        <f>VLOOKUP(B83,'Daten Tiere'!$R$5:$V$10,5,FALSE)</f>
        <v>0</v>
      </c>
      <c r="F83" s="23">
        <f>VLOOKUP(B83,'Daten Tiere'!$R$5:$V$10,2,FALSE)</f>
        <v>0</v>
      </c>
      <c r="G83" s="23">
        <f>VLOOKUP(B83,'Daten Tiere'!$R$5:$V$10,3,FALSE)</f>
        <v>0</v>
      </c>
      <c r="H83" s="23">
        <f>VLOOKUP(B83,'Daten Tiere'!$R$5:$V$10,4,FALSE)</f>
        <v>0</v>
      </c>
      <c r="I83" s="22">
        <f t="shared" si="11"/>
        <v>0</v>
      </c>
      <c r="J83" s="22">
        <f t="shared" si="12"/>
        <v>0</v>
      </c>
      <c r="K83" s="22">
        <f t="shared" si="13"/>
        <v>0</v>
      </c>
    </row>
    <row r="84" spans="1:11">
      <c r="A84" s="854"/>
      <c r="B84" s="855" t="s">
        <v>163</v>
      </c>
      <c r="C84" s="836">
        <v>0</v>
      </c>
      <c r="D84" s="857">
        <v>0</v>
      </c>
      <c r="E84" s="372">
        <f>VLOOKUP(B84,'Daten Tiere'!$R$5:$V$10,5,FALSE)</f>
        <v>0</v>
      </c>
      <c r="F84" s="23">
        <f>VLOOKUP(B84,'Daten Tiere'!$R$5:$V$10,2,FALSE)</f>
        <v>0</v>
      </c>
      <c r="G84" s="23">
        <f>VLOOKUP(B84,'Daten Tiere'!$R$5:$V$10,3,FALSE)</f>
        <v>0</v>
      </c>
      <c r="H84" s="23">
        <f>VLOOKUP(B84,'Daten Tiere'!$R$5:$V$10,4,FALSE)</f>
        <v>0</v>
      </c>
      <c r="I84" s="22">
        <f t="shared" si="11"/>
        <v>0</v>
      </c>
      <c r="J84" s="22">
        <f t="shared" si="12"/>
        <v>0</v>
      </c>
      <c r="K84" s="22">
        <f t="shared" si="13"/>
        <v>0</v>
      </c>
    </row>
    <row r="85" spans="1:11">
      <c r="A85" s="854"/>
      <c r="B85" s="855" t="s">
        <v>163</v>
      </c>
      <c r="C85" s="836">
        <v>0</v>
      </c>
      <c r="D85" s="857">
        <v>0</v>
      </c>
      <c r="E85" s="372">
        <f>VLOOKUP(B85,'Daten Tiere'!$R$5:$V$10,5,FALSE)</f>
        <v>0</v>
      </c>
      <c r="F85" s="23">
        <f>VLOOKUP(B85,'Daten Tiere'!$R$5:$V$10,2,FALSE)</f>
        <v>0</v>
      </c>
      <c r="G85" s="23">
        <f>VLOOKUP(B85,'Daten Tiere'!$R$5:$V$10,3,FALSE)</f>
        <v>0</v>
      </c>
      <c r="H85" s="23">
        <f>VLOOKUP(B85,'Daten Tiere'!$R$5:$V$10,4,FALSE)</f>
        <v>0</v>
      </c>
      <c r="I85" s="22">
        <f t="shared" si="11"/>
        <v>0</v>
      </c>
      <c r="J85" s="22">
        <f t="shared" si="12"/>
        <v>0</v>
      </c>
      <c r="K85" s="22">
        <f t="shared" si="13"/>
        <v>0</v>
      </c>
    </row>
    <row r="86" spans="1:11">
      <c r="A86" s="854"/>
      <c r="B86" s="855" t="s">
        <v>163</v>
      </c>
      <c r="C86" s="836">
        <v>0</v>
      </c>
      <c r="D86" s="857">
        <v>0</v>
      </c>
      <c r="E86" s="372">
        <f>VLOOKUP(B86,'Daten Tiere'!$R$5:$V$10,5,FALSE)</f>
        <v>0</v>
      </c>
      <c r="F86" s="23">
        <f>VLOOKUP(B86,'Daten Tiere'!$R$5:$V$10,2,FALSE)</f>
        <v>0</v>
      </c>
      <c r="G86" s="23">
        <f>VLOOKUP(B86,'Daten Tiere'!$R$5:$V$10,3,FALSE)</f>
        <v>0</v>
      </c>
      <c r="H86" s="23">
        <f>VLOOKUP(B86,'Daten Tiere'!$R$5:$V$10,4,FALSE)</f>
        <v>0</v>
      </c>
      <c r="I86" s="22">
        <f t="shared" si="11"/>
        <v>0</v>
      </c>
      <c r="J86" s="22">
        <f t="shared" si="12"/>
        <v>0</v>
      </c>
      <c r="K86" s="22">
        <f t="shared" si="13"/>
        <v>0</v>
      </c>
    </row>
    <row r="87" spans="1:11">
      <c r="A87" s="854"/>
      <c r="B87" s="855" t="s">
        <v>163</v>
      </c>
      <c r="C87" s="836">
        <v>0</v>
      </c>
      <c r="D87" s="857">
        <v>0</v>
      </c>
      <c r="E87" s="372">
        <f>VLOOKUP(B87,'Daten Tiere'!$R$5:$V$10,5,FALSE)</f>
        <v>0</v>
      </c>
      <c r="F87" s="23">
        <f>VLOOKUP(B87,'Daten Tiere'!$R$5:$V$10,2,FALSE)</f>
        <v>0</v>
      </c>
      <c r="G87" s="23">
        <f>VLOOKUP(B87,'Daten Tiere'!$R$5:$V$10,3,FALSE)</f>
        <v>0</v>
      </c>
      <c r="H87" s="23">
        <f>VLOOKUP(B87,'Daten Tiere'!$R$5:$V$10,4,FALSE)</f>
        <v>0</v>
      </c>
      <c r="I87" s="22">
        <f t="shared" si="11"/>
        <v>0</v>
      </c>
      <c r="J87" s="22">
        <f t="shared" si="12"/>
        <v>0</v>
      </c>
      <c r="K87" s="22">
        <f t="shared" si="13"/>
        <v>0</v>
      </c>
    </row>
    <row r="88" spans="1:11">
      <c r="A88" s="854"/>
      <c r="B88" s="855" t="s">
        <v>163</v>
      </c>
      <c r="C88" s="836">
        <v>0</v>
      </c>
      <c r="D88" s="857">
        <v>0</v>
      </c>
      <c r="E88" s="372">
        <f>VLOOKUP(B88,'Daten Tiere'!$R$5:$V$10,5,FALSE)</f>
        <v>0</v>
      </c>
      <c r="F88" s="23">
        <f>VLOOKUP(B88,'Daten Tiere'!$R$5:$V$10,2,FALSE)</f>
        <v>0</v>
      </c>
      <c r="G88" s="23">
        <f>VLOOKUP(B88,'Daten Tiere'!$R$5:$V$10,3,FALSE)</f>
        <v>0</v>
      </c>
      <c r="H88" s="23">
        <f>VLOOKUP(B88,'Daten Tiere'!$R$5:$V$10,4,FALSE)</f>
        <v>0</v>
      </c>
      <c r="I88" s="22">
        <f t="shared" si="11"/>
        <v>0</v>
      </c>
      <c r="J88" s="22">
        <f t="shared" si="12"/>
        <v>0</v>
      </c>
      <c r="K88" s="22">
        <f t="shared" si="13"/>
        <v>0</v>
      </c>
    </row>
    <row r="89" spans="1:11">
      <c r="A89" s="854"/>
      <c r="B89" s="855" t="s">
        <v>163</v>
      </c>
      <c r="C89" s="836">
        <v>0</v>
      </c>
      <c r="D89" s="857">
        <v>0</v>
      </c>
      <c r="E89" s="372">
        <f>VLOOKUP(B89,'Daten Tiere'!$R$5:$V$10,5,FALSE)</f>
        <v>0</v>
      </c>
      <c r="F89" s="23">
        <f>VLOOKUP(B89,'Daten Tiere'!$R$5:$V$10,2,FALSE)</f>
        <v>0</v>
      </c>
      <c r="G89" s="23">
        <f>VLOOKUP(B89,'Daten Tiere'!$R$5:$V$10,3,FALSE)</f>
        <v>0</v>
      </c>
      <c r="H89" s="23">
        <f>VLOOKUP(B89,'Daten Tiere'!$R$5:$V$10,4,FALSE)</f>
        <v>0</v>
      </c>
      <c r="I89" s="22">
        <f t="shared" si="11"/>
        <v>0</v>
      </c>
      <c r="J89" s="22">
        <f t="shared" si="12"/>
        <v>0</v>
      </c>
      <c r="K89" s="22">
        <f t="shared" si="13"/>
        <v>0</v>
      </c>
    </row>
    <row r="90" spans="1:11">
      <c r="A90" s="854"/>
      <c r="B90" s="855" t="s">
        <v>163</v>
      </c>
      <c r="C90" s="836">
        <v>0</v>
      </c>
      <c r="D90" s="857">
        <v>0</v>
      </c>
      <c r="E90" s="372">
        <f>VLOOKUP(B90,'Daten Tiere'!$R$5:$V$10,5,FALSE)</f>
        <v>0</v>
      </c>
      <c r="F90" s="23">
        <f>VLOOKUP(B90,'Daten Tiere'!$R$5:$V$10,2,FALSE)</f>
        <v>0</v>
      </c>
      <c r="G90" s="23">
        <f>VLOOKUP(B90,'Daten Tiere'!$R$5:$V$10,3,FALSE)</f>
        <v>0</v>
      </c>
      <c r="H90" s="23">
        <f>VLOOKUP(B90,'Daten Tiere'!$R$5:$V$10,4,FALSE)</f>
        <v>0</v>
      </c>
      <c r="I90" s="22">
        <f t="shared" si="11"/>
        <v>0</v>
      </c>
      <c r="J90" s="22">
        <f t="shared" si="12"/>
        <v>0</v>
      </c>
      <c r="K90" s="22">
        <f t="shared" si="13"/>
        <v>0</v>
      </c>
    </row>
    <row r="91" spans="1:11">
      <c r="A91" s="854"/>
      <c r="B91" s="855" t="s">
        <v>163</v>
      </c>
      <c r="C91" s="836">
        <v>0</v>
      </c>
      <c r="D91" s="857">
        <v>0</v>
      </c>
      <c r="E91" s="372">
        <f>VLOOKUP(B91,'Daten Tiere'!$R$5:$V$10,5,FALSE)</f>
        <v>0</v>
      </c>
      <c r="F91" s="23">
        <f>VLOOKUP(B91,'Daten Tiere'!$R$5:$V$10,2,FALSE)</f>
        <v>0</v>
      </c>
      <c r="G91" s="23">
        <f>VLOOKUP(B91,'Daten Tiere'!$R$5:$V$10,3,FALSE)</f>
        <v>0</v>
      </c>
      <c r="H91" s="23">
        <f>VLOOKUP(B91,'Daten Tiere'!$R$5:$V$10,4,FALSE)</f>
        <v>0</v>
      </c>
      <c r="I91" s="22">
        <f t="shared" si="11"/>
        <v>0</v>
      </c>
      <c r="J91" s="22">
        <f t="shared" si="12"/>
        <v>0</v>
      </c>
      <c r="K91" s="22">
        <f t="shared" si="13"/>
        <v>0</v>
      </c>
    </row>
    <row r="92" spans="1:11">
      <c r="A92" s="854"/>
      <c r="B92" s="855" t="s">
        <v>163</v>
      </c>
      <c r="C92" s="836">
        <v>0</v>
      </c>
      <c r="D92" s="857">
        <v>0</v>
      </c>
      <c r="E92" s="372">
        <f>VLOOKUP(B92,'Daten Tiere'!$R$5:$V$10,5,FALSE)</f>
        <v>0</v>
      </c>
      <c r="F92" s="23">
        <f>VLOOKUP(B92,'Daten Tiere'!$R$5:$V$10,2,FALSE)</f>
        <v>0</v>
      </c>
      <c r="G92" s="23">
        <f>VLOOKUP(B92,'Daten Tiere'!$R$5:$V$10,3,FALSE)</f>
        <v>0</v>
      </c>
      <c r="H92" s="23">
        <f>VLOOKUP(B92,'Daten Tiere'!$R$5:$V$10,4,FALSE)</f>
        <v>0</v>
      </c>
      <c r="I92" s="22">
        <f t="shared" si="11"/>
        <v>0</v>
      </c>
      <c r="J92" s="22">
        <f t="shared" si="12"/>
        <v>0</v>
      </c>
      <c r="K92" s="22">
        <f t="shared" si="13"/>
        <v>0</v>
      </c>
    </row>
    <row r="93" spans="1:11">
      <c r="A93" s="854"/>
      <c r="B93" s="855" t="s">
        <v>163</v>
      </c>
      <c r="C93" s="836">
        <v>0</v>
      </c>
      <c r="D93" s="857">
        <v>0</v>
      </c>
      <c r="E93" s="372">
        <f>VLOOKUP(B93,'Daten Tiere'!$R$5:$V$10,5,FALSE)</f>
        <v>0</v>
      </c>
      <c r="F93" s="23">
        <f>VLOOKUP(B93,'Daten Tiere'!$R$5:$V$10,2,FALSE)</f>
        <v>0</v>
      </c>
      <c r="G93" s="23">
        <f>VLOOKUP(B93,'Daten Tiere'!$R$5:$V$10,3,FALSE)</f>
        <v>0</v>
      </c>
      <c r="H93" s="23">
        <f>VLOOKUP(B93,'Daten Tiere'!$R$5:$V$10,4,FALSE)</f>
        <v>0</v>
      </c>
      <c r="I93" s="22">
        <f t="shared" si="11"/>
        <v>0</v>
      </c>
      <c r="J93" s="22">
        <f t="shared" si="12"/>
        <v>0</v>
      </c>
      <c r="K93" s="22">
        <f t="shared" si="13"/>
        <v>0</v>
      </c>
    </row>
    <row r="94" spans="1:11">
      <c r="A94" s="854"/>
      <c r="B94" s="855" t="s">
        <v>163</v>
      </c>
      <c r="C94" s="836">
        <v>0</v>
      </c>
      <c r="D94" s="857">
        <v>0</v>
      </c>
      <c r="E94" s="372">
        <f>VLOOKUP(B94,'Daten Tiere'!$R$5:$V$10,5,FALSE)</f>
        <v>0</v>
      </c>
      <c r="F94" s="23">
        <f>VLOOKUP(B94,'Daten Tiere'!$R$5:$V$10,2,FALSE)</f>
        <v>0</v>
      </c>
      <c r="G94" s="23">
        <f>VLOOKUP(B94,'Daten Tiere'!$R$5:$V$10,3,FALSE)</f>
        <v>0</v>
      </c>
      <c r="H94" s="23">
        <f>VLOOKUP(B94,'Daten Tiere'!$R$5:$V$10,4,FALSE)</f>
        <v>0</v>
      </c>
      <c r="I94" s="22">
        <f t="shared" si="11"/>
        <v>0</v>
      </c>
      <c r="J94" s="22">
        <f t="shared" si="12"/>
        <v>0</v>
      </c>
      <c r="K94" s="22">
        <f t="shared" si="13"/>
        <v>0</v>
      </c>
    </row>
    <row r="95" spans="1:11">
      <c r="A95" s="854"/>
      <c r="B95" s="855" t="s">
        <v>163</v>
      </c>
      <c r="C95" s="836">
        <v>0</v>
      </c>
      <c r="D95" s="857">
        <v>0</v>
      </c>
      <c r="E95" s="372">
        <f>VLOOKUP(B95,'Daten Tiere'!$R$5:$V$10,5,FALSE)</f>
        <v>0</v>
      </c>
      <c r="F95" s="23">
        <f>VLOOKUP(B95,'Daten Tiere'!$R$5:$V$10,2,FALSE)</f>
        <v>0</v>
      </c>
      <c r="G95" s="23">
        <f>VLOOKUP(B95,'Daten Tiere'!$R$5:$V$10,3,FALSE)</f>
        <v>0</v>
      </c>
      <c r="H95" s="23">
        <f>VLOOKUP(B95,'Daten Tiere'!$R$5:$V$10,4,FALSE)</f>
        <v>0</v>
      </c>
      <c r="I95" s="22">
        <f t="shared" si="11"/>
        <v>0</v>
      </c>
      <c r="J95" s="22">
        <f t="shared" si="12"/>
        <v>0</v>
      </c>
      <c r="K95" s="22">
        <f t="shared" si="13"/>
        <v>0</v>
      </c>
    </row>
    <row r="96" spans="1:11">
      <c r="A96" s="854"/>
      <c r="B96" s="855" t="s">
        <v>163</v>
      </c>
      <c r="C96" s="836">
        <v>0</v>
      </c>
      <c r="D96" s="857">
        <v>0</v>
      </c>
      <c r="E96" s="372">
        <f>VLOOKUP(B96,'Daten Tiere'!$R$5:$V$10,5,FALSE)</f>
        <v>0</v>
      </c>
      <c r="F96" s="23">
        <f>VLOOKUP(B96,'Daten Tiere'!$R$5:$V$10,2,FALSE)</f>
        <v>0</v>
      </c>
      <c r="G96" s="23">
        <f>VLOOKUP(B96,'Daten Tiere'!$R$5:$V$10,3,FALSE)</f>
        <v>0</v>
      </c>
      <c r="H96" s="23">
        <f>VLOOKUP(B96,'Daten Tiere'!$R$5:$V$10,4,FALSE)</f>
        <v>0</v>
      </c>
      <c r="I96" s="22">
        <f t="shared" si="11"/>
        <v>0</v>
      </c>
      <c r="J96" s="22">
        <f t="shared" si="12"/>
        <v>0</v>
      </c>
      <c r="K96" s="22">
        <f t="shared" si="13"/>
        <v>0</v>
      </c>
    </row>
    <row r="97" spans="1:11">
      <c r="A97" s="854"/>
      <c r="B97" s="855" t="s">
        <v>163</v>
      </c>
      <c r="C97" s="836">
        <v>0</v>
      </c>
      <c r="D97" s="857">
        <v>0</v>
      </c>
      <c r="E97" s="372">
        <f>VLOOKUP(B97,'Daten Tiere'!$R$5:$V$10,5,FALSE)</f>
        <v>0</v>
      </c>
      <c r="F97" s="23">
        <f>VLOOKUP(B97,'Daten Tiere'!$R$5:$V$10,2,FALSE)</f>
        <v>0</v>
      </c>
      <c r="G97" s="23">
        <f>VLOOKUP(B97,'Daten Tiere'!$R$5:$V$10,3,FALSE)</f>
        <v>0</v>
      </c>
      <c r="H97" s="23">
        <f>VLOOKUP(B97,'Daten Tiere'!$R$5:$V$10,4,FALSE)</f>
        <v>0</v>
      </c>
      <c r="I97" s="22">
        <f t="shared" si="11"/>
        <v>0</v>
      </c>
      <c r="J97" s="22">
        <f t="shared" si="12"/>
        <v>0</v>
      </c>
      <c r="K97" s="22">
        <f t="shared" si="13"/>
        <v>0</v>
      </c>
    </row>
    <row r="98" spans="1:11">
      <c r="A98" s="854"/>
      <c r="B98" s="855" t="s">
        <v>163</v>
      </c>
      <c r="C98" s="836">
        <v>0</v>
      </c>
      <c r="D98" s="857">
        <v>0</v>
      </c>
      <c r="E98" s="372">
        <f>VLOOKUP(B98,'Daten Tiere'!$R$5:$V$10,5,FALSE)</f>
        <v>0</v>
      </c>
      <c r="F98" s="23">
        <f>VLOOKUP(B98,'Daten Tiere'!$R$5:$V$10,2,FALSE)</f>
        <v>0</v>
      </c>
      <c r="G98" s="23">
        <f>VLOOKUP(B98,'Daten Tiere'!$R$5:$V$10,3,FALSE)</f>
        <v>0</v>
      </c>
      <c r="H98" s="23">
        <f>VLOOKUP(B98,'Daten Tiere'!$R$5:$V$10,4,FALSE)</f>
        <v>0</v>
      </c>
      <c r="I98" s="22">
        <f t="shared" si="11"/>
        <v>0</v>
      </c>
      <c r="J98" s="22">
        <f t="shared" si="12"/>
        <v>0</v>
      </c>
      <c r="K98" s="22">
        <f t="shared" si="13"/>
        <v>0</v>
      </c>
    </row>
    <row r="99" spans="1:11">
      <c r="A99" s="854"/>
      <c r="B99" s="855" t="s">
        <v>163</v>
      </c>
      <c r="C99" s="836">
        <v>0</v>
      </c>
      <c r="D99" s="857">
        <v>0</v>
      </c>
      <c r="E99" s="372">
        <f>VLOOKUP(B99,'Daten Tiere'!$R$5:$V$10,5,FALSE)</f>
        <v>0</v>
      </c>
      <c r="F99" s="23">
        <f>VLOOKUP(B99,'Daten Tiere'!$R$5:$V$10,2,FALSE)</f>
        <v>0</v>
      </c>
      <c r="G99" s="23">
        <f>VLOOKUP(B99,'Daten Tiere'!$R$5:$V$10,3,FALSE)</f>
        <v>0</v>
      </c>
      <c r="H99" s="23">
        <f>VLOOKUP(B99,'Daten Tiere'!$R$5:$V$10,4,FALSE)</f>
        <v>0</v>
      </c>
      <c r="I99" s="22">
        <f t="shared" si="11"/>
        <v>0</v>
      </c>
      <c r="J99" s="22">
        <f t="shared" si="12"/>
        <v>0</v>
      </c>
      <c r="K99" s="22">
        <f t="shared" si="13"/>
        <v>0</v>
      </c>
    </row>
    <row r="100" spans="1:11">
      <c r="A100" s="854"/>
      <c r="B100" s="855" t="s">
        <v>163</v>
      </c>
      <c r="C100" s="836">
        <v>0</v>
      </c>
      <c r="D100" s="857">
        <v>0</v>
      </c>
      <c r="E100" s="372">
        <f>VLOOKUP(B100,'Daten Tiere'!$R$5:$V$10,5,FALSE)</f>
        <v>0</v>
      </c>
      <c r="F100" s="23">
        <f>VLOOKUP(B100,'Daten Tiere'!$R$5:$V$10,2,FALSE)</f>
        <v>0</v>
      </c>
      <c r="G100" s="23">
        <f>VLOOKUP(B100,'Daten Tiere'!$R$5:$V$10,3,FALSE)</f>
        <v>0</v>
      </c>
      <c r="H100" s="23">
        <f>VLOOKUP(B100,'Daten Tiere'!$R$5:$V$10,4,FALSE)</f>
        <v>0</v>
      </c>
      <c r="I100" s="22">
        <f t="shared" si="11"/>
        <v>0</v>
      </c>
      <c r="J100" s="22">
        <f t="shared" si="12"/>
        <v>0</v>
      </c>
      <c r="K100" s="22">
        <f t="shared" si="13"/>
        <v>0</v>
      </c>
    </row>
    <row r="101" spans="1:11">
      <c r="A101" s="854"/>
      <c r="B101" s="855" t="s">
        <v>163</v>
      </c>
      <c r="C101" s="836">
        <v>0</v>
      </c>
      <c r="D101" s="857">
        <v>0</v>
      </c>
      <c r="E101" s="372">
        <f>VLOOKUP(B101,'Daten Tiere'!$R$5:$V$10,5,FALSE)</f>
        <v>0</v>
      </c>
      <c r="F101" s="23">
        <f>VLOOKUP(B101,'Daten Tiere'!$R$5:$V$10,2,FALSE)</f>
        <v>0</v>
      </c>
      <c r="G101" s="23">
        <f>VLOOKUP(B101,'Daten Tiere'!$R$5:$V$10,3,FALSE)</f>
        <v>0</v>
      </c>
      <c r="H101" s="23">
        <f>VLOOKUP(B101,'Daten Tiere'!$R$5:$V$10,4,FALSE)</f>
        <v>0</v>
      </c>
      <c r="I101" s="22">
        <f t="shared" si="11"/>
        <v>0</v>
      </c>
      <c r="J101" s="22">
        <f t="shared" si="12"/>
        <v>0</v>
      </c>
      <c r="K101" s="22">
        <f t="shared" si="13"/>
        <v>0</v>
      </c>
    </row>
    <row r="102" spans="1:11">
      <c r="A102" s="854"/>
      <c r="B102" s="855" t="s">
        <v>163</v>
      </c>
      <c r="C102" s="836">
        <v>0</v>
      </c>
      <c r="D102" s="857">
        <v>0</v>
      </c>
      <c r="E102" s="372">
        <f>VLOOKUP(B102,'Daten Tiere'!$R$5:$V$10,5,FALSE)</f>
        <v>0</v>
      </c>
      <c r="F102" s="23">
        <f>VLOOKUP(B102,'Daten Tiere'!$R$5:$V$10,2,FALSE)</f>
        <v>0</v>
      </c>
      <c r="G102" s="23">
        <f>VLOOKUP(B102,'Daten Tiere'!$R$5:$V$10,3,FALSE)</f>
        <v>0</v>
      </c>
      <c r="H102" s="23">
        <f>VLOOKUP(B102,'Daten Tiere'!$R$5:$V$10,4,FALSE)</f>
        <v>0</v>
      </c>
      <c r="I102" s="22">
        <f t="shared" si="11"/>
        <v>0</v>
      </c>
      <c r="J102" s="22">
        <f t="shared" si="12"/>
        <v>0</v>
      </c>
      <c r="K102" s="22">
        <f t="shared" si="13"/>
        <v>0</v>
      </c>
    </row>
    <row r="103" spans="1:11">
      <c r="A103" s="854"/>
      <c r="B103" s="855" t="s">
        <v>163</v>
      </c>
      <c r="C103" s="836">
        <v>0</v>
      </c>
      <c r="D103" s="857">
        <v>0</v>
      </c>
      <c r="E103" s="372">
        <f>VLOOKUP(B103,'Daten Tiere'!$R$5:$V$10,5,FALSE)</f>
        <v>0</v>
      </c>
      <c r="F103" s="23">
        <f>VLOOKUP(B103,'Daten Tiere'!$R$5:$V$10,2,FALSE)</f>
        <v>0</v>
      </c>
      <c r="G103" s="23">
        <f>VLOOKUP(B103,'Daten Tiere'!$R$5:$V$10,3,FALSE)</f>
        <v>0</v>
      </c>
      <c r="H103" s="23">
        <f>VLOOKUP(B103,'Daten Tiere'!$R$5:$V$10,4,FALSE)</f>
        <v>0</v>
      </c>
      <c r="I103" s="22">
        <f t="shared" si="11"/>
        <v>0</v>
      </c>
      <c r="J103" s="22">
        <f t="shared" si="12"/>
        <v>0</v>
      </c>
      <c r="K103" s="22">
        <f t="shared" si="13"/>
        <v>0</v>
      </c>
    </row>
    <row r="104" spans="1:11">
      <c r="A104" s="854"/>
      <c r="B104" s="855" t="s">
        <v>163</v>
      </c>
      <c r="C104" s="836">
        <v>0</v>
      </c>
      <c r="D104" s="857">
        <v>0</v>
      </c>
      <c r="E104" s="372">
        <f>VLOOKUP(B104,'Daten Tiere'!$R$5:$V$10,5,FALSE)</f>
        <v>0</v>
      </c>
      <c r="F104" s="23">
        <f>VLOOKUP(B104,'Daten Tiere'!$R$5:$V$10,2,FALSE)</f>
        <v>0</v>
      </c>
      <c r="G104" s="23">
        <f>VLOOKUP(B104,'Daten Tiere'!$R$5:$V$10,3,FALSE)</f>
        <v>0</v>
      </c>
      <c r="H104" s="23">
        <f>VLOOKUP(B104,'Daten Tiere'!$R$5:$V$10,4,FALSE)</f>
        <v>0</v>
      </c>
      <c r="I104" s="22">
        <f t="shared" si="11"/>
        <v>0</v>
      </c>
      <c r="J104" s="22">
        <f t="shared" si="12"/>
        <v>0</v>
      </c>
      <c r="K104" s="22">
        <f t="shared" si="13"/>
        <v>0</v>
      </c>
    </row>
    <row r="105" spans="1:11">
      <c r="A105" s="854"/>
      <c r="B105" s="855" t="s">
        <v>163</v>
      </c>
      <c r="C105" s="836">
        <v>0</v>
      </c>
      <c r="D105" s="857">
        <v>0</v>
      </c>
      <c r="E105" s="372">
        <f>VLOOKUP(B105,'Daten Tiere'!$R$5:$V$10,5,FALSE)</f>
        <v>0</v>
      </c>
      <c r="F105" s="23">
        <f>VLOOKUP(B105,'Daten Tiere'!$R$5:$V$10,2,FALSE)</f>
        <v>0</v>
      </c>
      <c r="G105" s="23">
        <f>VLOOKUP(B105,'Daten Tiere'!$R$5:$V$10,3,FALSE)</f>
        <v>0</v>
      </c>
      <c r="H105" s="23">
        <f>VLOOKUP(B105,'Daten Tiere'!$R$5:$V$10,4,FALSE)</f>
        <v>0</v>
      </c>
      <c r="I105" s="22">
        <f t="shared" si="11"/>
        <v>0</v>
      </c>
      <c r="J105" s="22">
        <f t="shared" si="12"/>
        <v>0</v>
      </c>
      <c r="K105" s="22">
        <f t="shared" si="13"/>
        <v>0</v>
      </c>
    </row>
    <row r="106" spans="1:11">
      <c r="A106" s="854"/>
      <c r="B106" s="855" t="s">
        <v>163</v>
      </c>
      <c r="C106" s="836">
        <v>0</v>
      </c>
      <c r="D106" s="857">
        <v>0</v>
      </c>
      <c r="E106" s="372">
        <f>VLOOKUP(B106,'Daten Tiere'!$R$5:$V$10,5,FALSE)</f>
        <v>0</v>
      </c>
      <c r="F106" s="23">
        <f>VLOOKUP(B106,'Daten Tiere'!$R$5:$V$10,2,FALSE)</f>
        <v>0</v>
      </c>
      <c r="G106" s="23">
        <f>VLOOKUP(B106,'Daten Tiere'!$R$5:$V$10,3,FALSE)</f>
        <v>0</v>
      </c>
      <c r="H106" s="23">
        <f>VLOOKUP(B106,'Daten Tiere'!$R$5:$V$10,4,FALSE)</f>
        <v>0</v>
      </c>
      <c r="I106" s="22">
        <f t="shared" si="11"/>
        <v>0</v>
      </c>
      <c r="J106" s="22">
        <f t="shared" si="12"/>
        <v>0</v>
      </c>
      <c r="K106" s="22">
        <f t="shared" si="13"/>
        <v>0</v>
      </c>
    </row>
    <row r="107" spans="1:11">
      <c r="A107" s="854"/>
      <c r="B107" s="855" t="s">
        <v>163</v>
      </c>
      <c r="C107" s="836">
        <v>0</v>
      </c>
      <c r="D107" s="857">
        <v>0</v>
      </c>
      <c r="E107" s="372">
        <f>VLOOKUP(B107,'Daten Tiere'!$R$5:$V$10,5,FALSE)</f>
        <v>0</v>
      </c>
      <c r="F107" s="23">
        <f>VLOOKUP(B107,'Daten Tiere'!$R$5:$V$10,2,FALSE)</f>
        <v>0</v>
      </c>
      <c r="G107" s="23">
        <f>VLOOKUP(B107,'Daten Tiere'!$R$5:$V$10,3,FALSE)</f>
        <v>0</v>
      </c>
      <c r="H107" s="23">
        <f>VLOOKUP(B107,'Daten Tiere'!$R$5:$V$10,4,FALSE)</f>
        <v>0</v>
      </c>
      <c r="I107" s="22">
        <f t="shared" si="11"/>
        <v>0</v>
      </c>
      <c r="J107" s="22">
        <f t="shared" si="12"/>
        <v>0</v>
      </c>
      <c r="K107" s="22">
        <f t="shared" si="13"/>
        <v>0</v>
      </c>
    </row>
    <row r="108" spans="1:11">
      <c r="A108" s="854"/>
      <c r="B108" s="855" t="s">
        <v>163</v>
      </c>
      <c r="C108" s="836">
        <v>0</v>
      </c>
      <c r="D108" s="857">
        <v>0</v>
      </c>
      <c r="E108" s="372">
        <f>VLOOKUP(B108,'Daten Tiere'!$R$5:$V$10,5,FALSE)</f>
        <v>0</v>
      </c>
      <c r="F108" s="23">
        <f>VLOOKUP(B108,'Daten Tiere'!$R$5:$V$10,2,FALSE)</f>
        <v>0</v>
      </c>
      <c r="G108" s="23">
        <f>VLOOKUP(B108,'Daten Tiere'!$R$5:$V$10,3,FALSE)</f>
        <v>0</v>
      </c>
      <c r="H108" s="23">
        <f>VLOOKUP(B108,'Daten Tiere'!$R$5:$V$10,4,FALSE)</f>
        <v>0</v>
      </c>
      <c r="I108" s="22">
        <f t="shared" si="11"/>
        <v>0</v>
      </c>
      <c r="J108" s="22">
        <f t="shared" si="12"/>
        <v>0</v>
      </c>
      <c r="K108" s="22">
        <f t="shared" si="13"/>
        <v>0</v>
      </c>
    </row>
    <row r="109" spans="1:11">
      <c r="A109" s="854"/>
      <c r="B109" s="855" t="s">
        <v>163</v>
      </c>
      <c r="C109" s="836">
        <v>0</v>
      </c>
      <c r="D109" s="857">
        <v>0</v>
      </c>
      <c r="E109" s="372">
        <f>VLOOKUP(B109,'Daten Tiere'!$R$5:$V$10,5,FALSE)</f>
        <v>0</v>
      </c>
      <c r="F109" s="23">
        <f>VLOOKUP(B109,'Daten Tiere'!$R$5:$V$10,2,FALSE)</f>
        <v>0</v>
      </c>
      <c r="G109" s="23">
        <f>VLOOKUP(B109,'Daten Tiere'!$R$5:$V$10,3,FALSE)</f>
        <v>0</v>
      </c>
      <c r="H109" s="23">
        <f>VLOOKUP(B109,'Daten Tiere'!$R$5:$V$10,4,FALSE)</f>
        <v>0</v>
      </c>
      <c r="I109" s="22">
        <f t="shared" si="11"/>
        <v>0</v>
      </c>
      <c r="J109" s="22">
        <f t="shared" si="12"/>
        <v>0</v>
      </c>
      <c r="K109" s="22">
        <f t="shared" si="13"/>
        <v>0</v>
      </c>
    </row>
    <row r="110" spans="1:11">
      <c r="A110" s="854"/>
      <c r="B110" s="855" t="s">
        <v>163</v>
      </c>
      <c r="C110" s="836">
        <v>0</v>
      </c>
      <c r="D110" s="857">
        <v>0</v>
      </c>
      <c r="E110" s="372">
        <f>VLOOKUP(B110,'Daten Tiere'!$R$5:$V$10,5,FALSE)</f>
        <v>0</v>
      </c>
      <c r="F110" s="23">
        <f>VLOOKUP(B110,'Daten Tiere'!$R$5:$V$10,2,FALSE)</f>
        <v>0</v>
      </c>
      <c r="G110" s="23">
        <f>VLOOKUP(B110,'Daten Tiere'!$R$5:$V$10,3,FALSE)</f>
        <v>0</v>
      </c>
      <c r="H110" s="23">
        <f>VLOOKUP(B110,'Daten Tiere'!$R$5:$V$10,4,FALSE)</f>
        <v>0</v>
      </c>
      <c r="I110" s="22">
        <f t="shared" si="11"/>
        <v>0</v>
      </c>
      <c r="J110" s="22">
        <f t="shared" si="12"/>
        <v>0</v>
      </c>
      <c r="K110" s="22">
        <f t="shared" si="13"/>
        <v>0</v>
      </c>
    </row>
    <row r="111" spans="1:11">
      <c r="A111" s="854"/>
      <c r="B111" s="855" t="s">
        <v>163</v>
      </c>
      <c r="C111" s="836">
        <v>0</v>
      </c>
      <c r="D111" s="857">
        <v>0</v>
      </c>
      <c r="E111" s="372">
        <f>VLOOKUP(B111,'Daten Tiere'!$R$5:$V$10,5,FALSE)</f>
        <v>0</v>
      </c>
      <c r="F111" s="23">
        <f>VLOOKUP(B111,'Daten Tiere'!$R$5:$V$10,2,FALSE)</f>
        <v>0</v>
      </c>
      <c r="G111" s="23">
        <f>VLOOKUP(B111,'Daten Tiere'!$R$5:$V$10,3,FALSE)</f>
        <v>0</v>
      </c>
      <c r="H111" s="23">
        <f>VLOOKUP(B111,'Daten Tiere'!$R$5:$V$10,4,FALSE)</f>
        <v>0</v>
      </c>
      <c r="I111" s="22">
        <f t="shared" si="11"/>
        <v>0</v>
      </c>
      <c r="J111" s="22">
        <f t="shared" si="12"/>
        <v>0</v>
      </c>
      <c r="K111" s="22">
        <f t="shared" si="13"/>
        <v>0</v>
      </c>
    </row>
    <row r="112" spans="1:11">
      <c r="A112" s="854"/>
      <c r="B112" s="855" t="s">
        <v>163</v>
      </c>
      <c r="C112" s="836">
        <v>0</v>
      </c>
      <c r="D112" s="857">
        <v>0</v>
      </c>
      <c r="E112" s="372">
        <f>VLOOKUP(B112,'Daten Tiere'!$R$5:$V$10,5,FALSE)</f>
        <v>0</v>
      </c>
      <c r="F112" s="23">
        <f>VLOOKUP(B112,'Daten Tiere'!$R$5:$V$10,2,FALSE)</f>
        <v>0</v>
      </c>
      <c r="G112" s="23">
        <f>VLOOKUP(B112,'Daten Tiere'!$R$5:$V$10,3,FALSE)</f>
        <v>0</v>
      </c>
      <c r="H112" s="23">
        <f>VLOOKUP(B112,'Daten Tiere'!$R$5:$V$10,4,FALSE)</f>
        <v>0</v>
      </c>
      <c r="I112" s="22">
        <f t="shared" si="11"/>
        <v>0</v>
      </c>
      <c r="J112" s="22">
        <f t="shared" si="12"/>
        <v>0</v>
      </c>
      <c r="K112" s="22">
        <f t="shared" si="13"/>
        <v>0</v>
      </c>
    </row>
    <row r="113" spans="1:11">
      <c r="A113" s="854"/>
      <c r="B113" s="855" t="s">
        <v>163</v>
      </c>
      <c r="C113" s="836">
        <v>0</v>
      </c>
      <c r="D113" s="857">
        <v>0</v>
      </c>
      <c r="E113" s="372">
        <f>VLOOKUP(B113,'Daten Tiere'!$R$5:$V$10,5,FALSE)</f>
        <v>0</v>
      </c>
      <c r="F113" s="23">
        <f>VLOOKUP(B113,'Daten Tiere'!$R$5:$V$10,2,FALSE)</f>
        <v>0</v>
      </c>
      <c r="G113" s="23">
        <f>VLOOKUP(B113,'Daten Tiere'!$R$5:$V$10,3,FALSE)</f>
        <v>0</v>
      </c>
      <c r="H113" s="23">
        <f>VLOOKUP(B113,'Daten Tiere'!$R$5:$V$10,4,FALSE)</f>
        <v>0</v>
      </c>
      <c r="I113" s="22">
        <f t="shared" si="11"/>
        <v>0</v>
      </c>
      <c r="J113" s="22">
        <f t="shared" si="12"/>
        <v>0</v>
      </c>
      <c r="K113" s="22">
        <f t="shared" si="13"/>
        <v>0</v>
      </c>
    </row>
    <row r="114" spans="1:11" s="557" customFormat="1" ht="17.25" customHeight="1">
      <c r="B114" s="302"/>
      <c r="C114" s="302"/>
      <c r="D114" s="302"/>
      <c r="E114" s="302"/>
      <c r="F114" s="302"/>
      <c r="G114" s="302"/>
      <c r="H114" s="302" t="s">
        <v>38</v>
      </c>
      <c r="I114" s="429">
        <f>SUM(I72:I113)</f>
        <v>0</v>
      </c>
      <c r="J114" s="429">
        <f t="shared" ref="J114" si="14">SUM(J72:J113)</f>
        <v>0</v>
      </c>
      <c r="K114" s="429">
        <f t="shared" ref="K114" si="15">SUM(K72:K113)</f>
        <v>0</v>
      </c>
    </row>
  </sheetData>
  <sheetProtection sheet="1" objects="1" scenarios="1" formatColumns="0" formatRows="0" selectLockedCells="1"/>
  <mergeCells count="8">
    <mergeCell ref="B1:E2"/>
    <mergeCell ref="B3:E5"/>
    <mergeCell ref="F38:H38"/>
    <mergeCell ref="I38:K38"/>
    <mergeCell ref="F70:H70"/>
    <mergeCell ref="I70:K70"/>
    <mergeCell ref="F7:H7"/>
    <mergeCell ref="I7:K7"/>
  </mergeCells>
  <dataValidations count="2">
    <dataValidation type="list" allowBlank="1" showInputMessage="1" showErrorMessage="1" sqref="B72:B113">
      <formula1>TierSG</formula1>
    </dataValidation>
    <dataValidation type="list" allowBlank="1" showInputMessage="1" showErrorMessage="1" sqref="B9:B35 B40:B66">
      <formula1>TierLG</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22</vt:i4>
      </vt:variant>
    </vt:vector>
  </HeadingPairs>
  <TitlesOfParts>
    <vt:vector size="46" baseType="lpstr">
      <vt:lpstr>Einführung</vt:lpstr>
      <vt:lpstr>Betrieb</vt:lpstr>
      <vt:lpstr>Pflanzenbau</vt:lpstr>
      <vt:lpstr>Saatgut</vt:lpstr>
      <vt:lpstr>Mineraldünger</vt:lpstr>
      <vt:lpstr>Organ. Dünger</vt:lpstr>
      <vt:lpstr>Biogasanlage</vt:lpstr>
      <vt:lpstr>Tierhaltung</vt:lpstr>
      <vt:lpstr>Tiere</vt:lpstr>
      <vt:lpstr>tier. Produkte</vt:lpstr>
      <vt:lpstr>Futtermittel</vt:lpstr>
      <vt:lpstr>Grobfutter</vt:lpstr>
      <vt:lpstr>Ausdruck Stoffstrombilanz</vt:lpstr>
      <vt:lpstr>Daten Ernteprodukte</vt:lpstr>
      <vt:lpstr>Daten Gemüse Arznei Gewürz</vt:lpstr>
      <vt:lpstr>Daten Düngemittel</vt:lpstr>
      <vt:lpstr>Daten Biogasanlage</vt:lpstr>
      <vt:lpstr>Daten Tierhaltung</vt:lpstr>
      <vt:lpstr>Daten Tiere</vt:lpstr>
      <vt:lpstr>Daten Futtermittel Saatgut</vt:lpstr>
      <vt:lpstr>Daten Grobfutter</vt:lpstr>
      <vt:lpstr>DüV Grünland</vt:lpstr>
      <vt:lpstr>Schema SSB</vt:lpstr>
      <vt:lpstr>Tabelle1</vt:lpstr>
      <vt:lpstr>'Ausdruck Stoffstrombilanz'!Druckbereich</vt:lpstr>
      <vt:lpstr>'Schema SSB'!Druckbereich</vt:lpstr>
      <vt:lpstr>Futterbau</vt:lpstr>
      <vt:lpstr>Futtermittel</vt:lpstr>
      <vt:lpstr>Gärrest</vt:lpstr>
      <vt:lpstr>Grobfutter</vt:lpstr>
      <vt:lpstr>Handelsdg</vt:lpstr>
      <vt:lpstr>Kompost</vt:lpstr>
      <vt:lpstr>Marktfrucht</vt:lpstr>
      <vt:lpstr>OrgDg</vt:lpstr>
      <vt:lpstr>OrgDgohne</vt:lpstr>
      <vt:lpstr>Saatgut</vt:lpstr>
      <vt:lpstr>Substpfl</vt:lpstr>
      <vt:lpstr>Tier</vt:lpstr>
      <vt:lpstr>Tiere</vt:lpstr>
      <vt:lpstr>Tierhaltungsform</vt:lpstr>
      <vt:lpstr>Tierkategorie</vt:lpstr>
      <vt:lpstr>TierLG</vt:lpstr>
      <vt:lpstr>Tierprodukt</vt:lpstr>
      <vt:lpstr>Tierprodukte</vt:lpstr>
      <vt:lpstr>TierSG</vt:lpstr>
      <vt:lpstr>Zwfrucht</vt:lpstr>
    </vt:vector>
  </TitlesOfParts>
  <Company>Dienstleistungszentrum Ländlicher Raum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ausleihe4</dc:creator>
  <cp:lastModifiedBy>Ann-Chrisin Alzer</cp:lastModifiedBy>
  <cp:lastPrinted>2021-08-04T08:56:47Z</cp:lastPrinted>
  <dcterms:created xsi:type="dcterms:W3CDTF">2017-08-21T06:27:56Z</dcterms:created>
  <dcterms:modified xsi:type="dcterms:W3CDTF">2021-09-28T11:58:40Z</dcterms:modified>
</cp:coreProperties>
</file>